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685" windowHeight="8100" activeTab="0"/>
  </bookViews>
  <sheets>
    <sheet name="様式１２" sheetId="1" r:id="rId1"/>
    <sheet name="別紙６" sheetId="2" r:id="rId2"/>
    <sheet name="結果シート" sheetId="3" r:id="rId3"/>
    <sheet name="入力方法→" sheetId="4" r:id="rId4"/>
    <sheet name="計測データ" sheetId="5" r:id="rId5"/>
    <sheet name="【入力ｼｰﾄ①】従来方式(導入前)" sheetId="6" r:id="rId6"/>
    <sheet name="【入力ｼｰﾄ②】ｺｰｼﾞｪﾈ方式(導入前)" sheetId="7" r:id="rId7"/>
    <sheet name="効果検証達成計画書" sheetId="8" r:id="rId8"/>
    <sheet name="計測データ (今年度見込み)" sheetId="9" r:id="rId9"/>
    <sheet name="記入例(サンプル)"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 localSheetId="8">'[1]スペック'!#REF!</definedName>
    <definedName name="\">'[1]スペック'!#REF!</definedName>
    <definedName name="a">'[2]saturn DSS'!$F$4</definedName>
    <definedName name="cal" localSheetId="8">'[3]ｼﾞｪﾈﾘﾝｸspec'!#REF!</definedName>
    <definedName name="cal">'[3]ｼﾞｪﾈﾘﾝｸspec'!#REF!</definedName>
    <definedName name="ｄ">'[4]シミュ'!$Q$3</definedName>
    <definedName name="ｆ">'[4]経済比較'!$L$60</definedName>
    <definedName name="KB稼働時間">'[5]概要'!$C$36</definedName>
    <definedName name="KB実出力">'[5]概要'!$C$8</definedName>
    <definedName name="KB消費量">'[5]概要'!$C$10</definedName>
    <definedName name="KB蒸気量">'[5]概要'!$C$11</definedName>
    <definedName name="_xlnm.Print_Area" localSheetId="6">'【入力ｼｰﾄ②】ｺｰｼﾞｪﾈ方式(導入前)'!$A$1:$L$30</definedName>
    <definedName name="_xlnm.Print_Area" localSheetId="4">'計測データ'!$A$1:$V$24</definedName>
    <definedName name="_xlnm.Print_Area" localSheetId="8">'計測データ (今年度見込み)'!$A$1:$V$24</definedName>
    <definedName name="_xlnm.Print_Area" localSheetId="2">'結果シート'!$A$1:$G$24</definedName>
    <definedName name="_xlnm.Print_Area" localSheetId="3">'入力方法→'!$A$1:$O$35</definedName>
    <definedName name="_xlnm.Print_Area" localSheetId="1">'別紙６'!$A$1:$AR$57</definedName>
    <definedName name="_xlnm.Print_Area" localSheetId="0">'様式１２'!$A$1:$AR$48</definedName>
    <definedName name="ｑ">'[4]シミュ'!$C$3</definedName>
    <definedName name="ｓ">'[4]4号'!$L$1</definedName>
    <definedName name="ｔ" localSheetId="8">'[6]スペック'!#REF!</definedName>
    <definedName name="ｔ">'[6]スペック'!#REF!</definedName>
    <definedName name="ｖ">'[7]シミュ'!$C$16</definedName>
    <definedName name="ｗ">'[4]シミュ'!$AQ$3</definedName>
    <definedName name="あ">'[4]2号'!$L$1</definedName>
    <definedName name="い">'[4]シミュ'!$AD$3</definedName>
    <definedName name="え">'[4]シミュ'!$C$15</definedName>
    <definedName name="お">'[2]saturn DSS'!$F$3</definedName>
    <definedName name="サターン最低買電量">'[2]saturn DSS'!$F$4</definedName>
    <definedName name="サターン実出力">'[2]saturn DSS'!$F$3</definedName>
    <definedName name="ブロ補２">'[4]2号'!$L$1</definedName>
    <definedName name="ブロ補３">'[4]3号'!$L$1</definedName>
    <definedName name="ブロ補４">'[4]4号'!$L$1</definedName>
    <definedName name="ブロ補５">'[4]5号'!$L$1</definedName>
    <definedName name="位置図">'[5]概要'!$C$8</definedName>
    <definedName name="夏補正">'[4]シミュ'!$Q$3</definedName>
    <definedName name="減量調整電気">'[4]経済比較'!$L$60</definedName>
    <definedName name="最低買電量">'[4]シミュ'!$C$15</definedName>
    <definedName name="実出力">'[2]saturn DSS'!$F$3</definedName>
    <definedName name="秋補正">'[4]シミュ'!$AD$3</definedName>
    <definedName name="春補正">'[4]シミュ'!$C$3</definedName>
    <definedName name="地点図" localSheetId="8">'[8]スペック'!#REF!</definedName>
    <definedName name="地点図">'[8]スペック'!#REF!</definedName>
    <definedName name="冬補正">'[4]シミュ'!$AQ$3</definedName>
    <definedName name="補機電力" localSheetId="8">'[1]スペック'!#REF!</definedName>
    <definedName name="補機電力">'[1]スペック'!#REF!</definedName>
    <definedName name="補機動力">'[7]シミュ'!$C$16</definedName>
  </definedNames>
  <calcPr fullCalcOnLoad="1"/>
</workbook>
</file>

<file path=xl/sharedStrings.xml><?xml version="1.0" encoding="utf-8"?>
<sst xmlns="http://schemas.openxmlformats.org/spreadsheetml/2006/main" count="604" uniqueCount="317">
  <si>
    <t>9月</t>
  </si>
  <si>
    <t>10月</t>
  </si>
  <si>
    <t>11月</t>
  </si>
  <si>
    <t>12月</t>
  </si>
  <si>
    <t>1月</t>
  </si>
  <si>
    <t>2月</t>
  </si>
  <si>
    <t>3月</t>
  </si>
  <si>
    <t>燃料使用量</t>
  </si>
  <si>
    <t>蒸気</t>
  </si>
  <si>
    <t>蒸気発生量</t>
  </si>
  <si>
    <t>発電量</t>
  </si>
  <si>
    <t>発電効率</t>
  </si>
  <si>
    <t>省ｴﾈ率</t>
  </si>
  <si>
    <t>蒸気分</t>
  </si>
  <si>
    <t>合計</t>
  </si>
  <si>
    <t>MWｈ</t>
  </si>
  <si>
    <t>4月</t>
  </si>
  <si>
    <t>5月</t>
  </si>
  <si>
    <t>6月</t>
  </si>
  <si>
    <t>7月</t>
  </si>
  <si>
    <t>8月</t>
  </si>
  <si>
    <t>発電</t>
  </si>
  <si>
    <t>補機動力</t>
  </si>
  <si>
    <t>45MJ</t>
  </si>
  <si>
    <t>蒸気</t>
  </si>
  <si>
    <t>温水</t>
  </si>
  <si>
    <t>【入力シート①】従来方式（廃熱利用設備導入前）</t>
  </si>
  <si>
    <t>稼働日数</t>
  </si>
  <si>
    <t>蒸気圧力</t>
  </si>
  <si>
    <t>MPa</t>
  </si>
  <si>
    <t>夏季</t>
  </si>
  <si>
    <t>中間季</t>
  </si>
  <si>
    <t>冬季</t>
  </si>
  <si>
    <t>エンタルピー</t>
  </si>
  <si>
    <t>kJ/kg</t>
  </si>
  <si>
    <t>日数</t>
  </si>
  <si>
    <t>給水温度</t>
  </si>
  <si>
    <t>℃</t>
  </si>
  <si>
    <t>エンタルピー</t>
  </si>
  <si>
    <t>kJ/kg</t>
  </si>
  <si>
    <t>平均使用量</t>
  </si>
  <si>
    <t>kg/h</t>
  </si>
  <si>
    <t>運転時間</t>
  </si>
  <si>
    <t>MJ/h</t>
  </si>
  <si>
    <t>ボイラ効率</t>
  </si>
  <si>
    <t>（LHV）</t>
  </si>
  <si>
    <t>発電</t>
  </si>
  <si>
    <t>削減原単位</t>
  </si>
  <si>
    <t>GJ/GJ</t>
  </si>
  <si>
    <t>温水</t>
  </si>
  <si>
    <t>冷水</t>
  </si>
  <si>
    <t>その他</t>
  </si>
  <si>
    <t>温水温度</t>
  </si>
  <si>
    <t>℃</t>
  </si>
  <si>
    <t>エンタルピー</t>
  </si>
  <si>
    <t>kJ/kg</t>
  </si>
  <si>
    <t>MJ/h</t>
  </si>
  <si>
    <t>1次ｴﾈﾙｷﾞｰ換算</t>
  </si>
  <si>
    <t>直火吸収式</t>
  </si>
  <si>
    <t>COP</t>
  </si>
  <si>
    <t>（LHV）</t>
  </si>
  <si>
    <t>蒸気吸収式</t>
  </si>
  <si>
    <t>方式</t>
  </si>
  <si>
    <t>温水吸収式</t>
  </si>
  <si>
    <t>その他方式</t>
  </si>
  <si>
    <t>電気方式</t>
  </si>
  <si>
    <t>根拠計算式</t>
  </si>
  <si>
    <t>第２種ＨＰで発生する蒸気を削減</t>
  </si>
  <si>
    <t>【入力シート②】コージェネ方式（コージェネ仕様）（廃熱利用設備導入前）</t>
  </si>
  <si>
    <t>１．スペック</t>
  </si>
  <si>
    <t>４．燃料選択</t>
  </si>
  <si>
    <t>LHV</t>
  </si>
  <si>
    <t>HHV</t>
  </si>
  <si>
    <t>kW</t>
  </si>
  <si>
    <t>都市ガス</t>
  </si>
  <si>
    <t>45MJ</t>
  </si>
  <si>
    <t>MJ/Nm3</t>
  </si>
  <si>
    <t>kW</t>
  </si>
  <si>
    <t>種類</t>
  </si>
  <si>
    <t>46MJ</t>
  </si>
  <si>
    <t>MJ/h</t>
  </si>
  <si>
    <t>LHV</t>
  </si>
  <si>
    <t>HHV</t>
  </si>
  <si>
    <t>ガス</t>
  </si>
  <si>
    <t>Nm3/h</t>
  </si>
  <si>
    <t>５．廃熱利用設備のCOP等</t>
  </si>
  <si>
    <t>LHV</t>
  </si>
  <si>
    <t>※温水吸収式</t>
  </si>
  <si>
    <t>蒸気効率</t>
  </si>
  <si>
    <t>その他※</t>
  </si>
  <si>
    <t>温水効率</t>
  </si>
  <si>
    <t>総合</t>
  </si>
  <si>
    <t>２．台数</t>
  </si>
  <si>
    <t>台数</t>
  </si>
  <si>
    <t>台</t>
  </si>
  <si>
    <t>３．発生エネルギー量（合計値）</t>
  </si>
  <si>
    <t>ｺｼﾞｪﾈ燃料</t>
  </si>
  <si>
    <t>Nm3/h</t>
  </si>
  <si>
    <t>kW</t>
  </si>
  <si>
    <t>※その他根拠</t>
  </si>
  <si>
    <t>第2種HPにて蒸気発生</t>
  </si>
  <si>
    <t>cop＝0.49；添付仕様書参照</t>
  </si>
  <si>
    <t>【各ｼｰﾄ共通】</t>
  </si>
  <si>
    <t>　・黄色のセルは自動計算です。</t>
  </si>
  <si>
    <t>　・不明な点がある場合は、都市ガス振興センターにお問い合わせ下さい。</t>
  </si>
  <si>
    <t>温水発生量</t>
  </si>
  <si>
    <t>GJ</t>
  </si>
  <si>
    <t>導入前</t>
  </si>
  <si>
    <t>蒸気利用量</t>
  </si>
  <si>
    <t>温水利用量</t>
  </si>
  <si>
    <t>冷水利用量</t>
  </si>
  <si>
    <t>GJ</t>
  </si>
  <si>
    <t>他発生量</t>
  </si>
  <si>
    <t>他利用量</t>
  </si>
  <si>
    <t>コージェネ方式</t>
  </si>
  <si>
    <t>従来方式</t>
  </si>
  <si>
    <t>温水分</t>
  </si>
  <si>
    <t>冷水分</t>
  </si>
  <si>
    <t>他利用分</t>
  </si>
  <si>
    <t>省ｴﾈ量</t>
  </si>
  <si>
    <t>他</t>
  </si>
  <si>
    <t>GJ/GJ</t>
  </si>
  <si>
    <t>Nm3</t>
  </si>
  <si>
    <t>kL</t>
  </si>
  <si>
    <t>発電出力</t>
  </si>
  <si>
    <t>kW</t>
  </si>
  <si>
    <t>時間</t>
  </si>
  <si>
    <t>入力項目</t>
  </si>
  <si>
    <t>自動計算</t>
  </si>
  <si>
    <t>補機動力</t>
  </si>
  <si>
    <t>Nm3/ｈ</t>
  </si>
  <si>
    <t>MJ/ｈ</t>
  </si>
  <si>
    <t>１次ｴﾈﾙｷﾞｰ換算係数</t>
  </si>
  <si>
    <t>熱量換算</t>
  </si>
  <si>
    <t>kL/GJ</t>
  </si>
  <si>
    <t>電力</t>
  </si>
  <si>
    <t>kL/MWh</t>
  </si>
  <si>
    <t>【入力ｼｰﾄ①・②】</t>
  </si>
  <si>
    <t>GJ</t>
  </si>
  <si>
    <t>（確認用）時間あたり</t>
  </si>
  <si>
    <t>右側に各要素の時間あたりの値を表示していますので参考にしてください。</t>
  </si>
  <si>
    <t>それぞれ、申請時の「省エネルギー、環境改善効果シート」の値を正確に転記してください。</t>
  </si>
  <si>
    <t>*ジェネリンクの冷水の利用量の測定方法については別途都市ガス振興センターにご連絡ください。</t>
  </si>
  <si>
    <t>省ｴﾈ原単位</t>
  </si>
  <si>
    <t>kL/kW</t>
  </si>
  <si>
    <t>交付番号</t>
  </si>
  <si>
    <t>事業者名</t>
  </si>
  <si>
    <t>のセルに毎月の測定値の累計を表示されている単位で記入してください。(初期値としてサンプル値が入力されていますので必ず上書きしてください）</t>
  </si>
  <si>
    <t>（総合的高効率性）</t>
  </si>
  <si>
    <t>効果検証計測データシート</t>
  </si>
  <si>
    <t>記入日</t>
  </si>
  <si>
    <t>申請値</t>
  </si>
  <si>
    <t>一次エネルギー原油換算削減量（省エネ量）</t>
  </si>
  <si>
    <t>(KL/年)</t>
  </si>
  <si>
    <t>一次エネルギー原油換算削減率（省エネ率）</t>
  </si>
  <si>
    <t>(%)</t>
  </si>
  <si>
    <t>MWh</t>
  </si>
  <si>
    <t>ｋW</t>
  </si>
  <si>
    <t>（高効率型天然ガスコージェネレーション設備）</t>
  </si>
  <si>
    <r>
      <t>　◆</t>
    </r>
    <r>
      <rPr>
        <b/>
        <u val="single"/>
        <sz val="11"/>
        <rFont val="ＭＳ Ｐ明朝"/>
        <family val="1"/>
      </rPr>
      <t>技術的新規性はないものの、廃熱利用を加味し総合的に高効率性を有する設備の場合</t>
    </r>
  </si>
  <si>
    <t>備考</t>
  </si>
  <si>
    <t>kW</t>
  </si>
  <si>
    <t>　⑫</t>
  </si>
  <si>
    <t>発電設備：</t>
  </si>
  <si>
    <t>年間電力負荷</t>
  </si>
  <si>
    <t>熱設備等：</t>
  </si>
  <si>
    <t>年間熱負荷</t>
  </si>
  <si>
    <t>(冷熱：</t>
  </si>
  <si>
    <t>GJ)</t>
  </si>
  <si>
    <t>(温熱：</t>
  </si>
  <si>
    <t>年間エネルギー消費量</t>
  </si>
  <si>
    <t>[固有値]</t>
  </si>
  <si>
    <t>[原油換算値]</t>
  </si>
  <si>
    <t>燃料</t>
  </si>
  <si>
    <t>　①</t>
  </si>
  <si>
    <t>商用電力</t>
  </si>
  <si>
    <t>　②</t>
  </si>
  <si>
    <t>計</t>
  </si>
  <si>
    <t>　③=①+②</t>
  </si>
  <si>
    <t>コージェネレーション
方式</t>
  </si>
  <si>
    <r>
      <t>千m</t>
    </r>
    <r>
      <rPr>
        <vertAlign val="superscript"/>
        <sz val="11"/>
        <rFont val="ＭＳ Ｐ明朝"/>
        <family val="1"/>
      </rPr>
      <t>3</t>
    </r>
    <r>
      <rPr>
        <sz val="11"/>
        <rFont val="ＭＳ Ｐ明朝"/>
        <family val="1"/>
      </rPr>
      <t>N</t>
    </r>
  </si>
  <si>
    <t>　④</t>
  </si>
  <si>
    <t>　⑤</t>
  </si>
  <si>
    <t>kL</t>
  </si>
  <si>
    <t>　⑥=④+⑤</t>
  </si>
  <si>
    <t>省エネルギー効果</t>
  </si>
  <si>
    <t>省エネ量</t>
  </si>
  <si>
    <t>　⑦=③-⑥</t>
  </si>
  <si>
    <t>省エネ率</t>
  </si>
  <si>
    <t>％</t>
  </si>
  <si>
    <t>　⑧=⑦÷③</t>
  </si>
  <si>
    <t>省エネ原単位</t>
  </si>
  <si>
    <t>kL/kW</t>
  </si>
  <si>
    <t>　⑨=⑦÷⑫</t>
  </si>
  <si>
    <t>補助対象経費　合計</t>
  </si>
  <si>
    <t>億円</t>
  </si>
  <si>
    <t>　⑩</t>
  </si>
  <si>
    <r>
      <t xml:space="preserve">費用対効果
</t>
    </r>
    <r>
      <rPr>
        <sz val="8"/>
        <rFont val="ＭＳ Ｐ明朝"/>
        <family val="1"/>
      </rPr>
      <t>〔省エネ量(kL)÷補助対象経費(億円)〕</t>
    </r>
  </si>
  <si>
    <t>kL/億円</t>
  </si>
  <si>
    <t>　⑪=⑦÷⑩</t>
  </si>
  <si>
    <t>有効
発電効率</t>
  </si>
  <si>
    <t>有効発電量</t>
  </si>
  <si>
    <t>（様式第１２）</t>
  </si>
  <si>
    <t>補 助 金 交 付 番 号</t>
  </si>
  <si>
    <r>
      <t>報 告 日</t>
    </r>
    <r>
      <rPr>
        <sz val="9"/>
        <rFont val="ＭＳ 明朝"/>
        <family val="1"/>
      </rPr>
      <t>（記入日）</t>
    </r>
  </si>
  <si>
    <t>平 成</t>
  </si>
  <si>
    <t>一般社団法人</t>
  </si>
  <si>
    <t>都市ガス振興センター　御中</t>
  </si>
  <si>
    <t>記</t>
  </si>
  <si>
    <t>１．本設備の所有者</t>
  </si>
  <si>
    <t>（フリガナ）</t>
  </si>
  <si>
    <t>印</t>
  </si>
  <si>
    <t>法人名</t>
  </si>
  <si>
    <t>代表者名</t>
  </si>
  <si>
    <t>住 所</t>
  </si>
  <si>
    <t>（</t>
  </si>
  <si>
    <t>－</t>
  </si>
  <si>
    <t>）</t>
  </si>
  <si>
    <t>２．施設の名称、所在地</t>
  </si>
  <si>
    <t>施設の名称</t>
  </si>
  <si>
    <t>３．設置した本設備の機器仕様、システム図</t>
  </si>
  <si>
    <t>※　別紙及び別表等を添付すること。</t>
  </si>
  <si>
    <t>１．一次エネルギー原油換算削減量・削減率（申請値）</t>
  </si>
  <si>
    <t>一次エネルギー原油換算削減量
（省エネ量）</t>
  </si>
  <si>
    <t>kL/年</t>
  </si>
  <si>
    <t>一次エネルギ－原油換算削減率
（省エネ率）</t>
  </si>
  <si>
    <t>％</t>
  </si>
  <si>
    <t>※　交付申請書（様式第１）７．補助事業の導入効果を参照のこと。</t>
  </si>
  <si>
    <t>※　既設天然ガスコージェネレーション設備の更なる高度利用を図る設備の場合は、省エネ増加量及び省エ</t>
  </si>
  <si>
    <t>　　ネ増加率を記入すること。</t>
  </si>
  <si>
    <t>２．提出データ（実績値）</t>
  </si>
  <si>
    <t xml:space="preserve"> ① 導入後燃料使用量</t>
  </si>
  <si>
    <t>m3/年</t>
  </si>
  <si>
    <t xml:space="preserve"> ② 導入後電力使用量</t>
  </si>
  <si>
    <t>MWh/年</t>
  </si>
  <si>
    <t xml:space="preserve"> ③ 導入後発電電力量</t>
  </si>
  <si>
    <r>
      <t xml:space="preserve"> ④ 一次エネルギー原油換算消費量
　　　　</t>
    </r>
    <r>
      <rPr>
        <sz val="9"/>
        <rFont val="ＭＳ 明朝"/>
        <family val="1"/>
      </rPr>
      <t>　（従来方式）</t>
    </r>
  </si>
  <si>
    <t xml:space="preserve"> ⑤ 一次エネルギー原油換算削減量</t>
  </si>
  <si>
    <t xml:space="preserve"> ⑥ 一次エネルギー原油換算削減率</t>
  </si>
  <si>
    <t>※　データの収集期間は補助対象設備の稼働後より開始し、少なくともセンターの属する会計年度（４月１</t>
  </si>
  <si>
    <t>※　①、②、③の値は、小数点以下１桁目を四捨五入し、１の位までを記入すること。④、⑤、⑥は、小数</t>
  </si>
  <si>
    <t>※　②は、吸気冷却等のために外部電源を使用する場合のみ記入すること。</t>
  </si>
  <si>
    <t>※　既設天然ガスコージェネレーション設備の更なる高度利用を図る設備の場合、⑤、⑥の値は、省エネ増</t>
  </si>
  <si>
    <t>効果検証データ報告書</t>
  </si>
  <si>
    <t>（　合計発電出力10,000kW未満　・　合計発電出力10,000kW以上　）</t>
  </si>
  <si>
    <t>　　日より翌年３月３１日）の２ヶ年とする。原則、設備導入後の効果検証用データを測定する専用の計測</t>
  </si>
  <si>
    <t>　　装置の値を記入し、加えて設備導入後の燃料及び電力の購入量を判断できるデータ（請求書等）の写し</t>
  </si>
  <si>
    <t>　　を添付すること。</t>
  </si>
  <si>
    <t>　　点以下２桁目を四捨五入し、小数点以下１桁目までを記入すること。</t>
  </si>
  <si>
    <t>※　④、⑤、⑥の計算は、省エネルギー・環境改善効果の算定根拠及び計測データに基づいて計算し、その</t>
  </si>
  <si>
    <t>　　値を記入すること。説明資料としてその計算に用いた計算シートを添付すること。あわせて、電子デー</t>
  </si>
  <si>
    <t>　　タをセンター担当者宛に送信すること。</t>
  </si>
  <si>
    <t>　　加量及び省エネ増加率を記入すること。</t>
  </si>
  <si>
    <t>※　２．⑥の一次エネルギー原油換算削減率（実績値）が１．一次エネルギー原油換算削減率（申請値）を</t>
  </si>
  <si>
    <t>　　下回る場合は、設備の改善指導の対象となります。</t>
  </si>
  <si>
    <t>データを取りまとめましたので分散型電源導入促進事業費補助金（うちガスコージェネレーション</t>
  </si>
  <si>
    <t>推進事業）交付規程第１８条の規定に基づき、下記のとおり報告します。</t>
  </si>
  <si>
    <t>　上記補助事業における平成     年  月から平成    年  月までの１年間（第 回）における</t>
  </si>
  <si>
    <t>役 職</t>
  </si>
  <si>
    <t>平成２７年度 分散型電源導入促進事業費補助金（うちガスコージェネレーション推進事業）</t>
  </si>
  <si>
    <t>平成２７年度　分散型電源導入促進事業費補助金（うちガスコージェネレーション推進事業） 　</t>
  </si>
  <si>
    <t>効果検証データ報告書（計測データ）［　　年目］</t>
  </si>
  <si>
    <t>（別紙６）</t>
  </si>
  <si>
    <t>年　　月　　日</t>
  </si>
  <si>
    <t>一般社団法人　都市ガス振興センター　御中</t>
  </si>
  <si>
    <t>補助事業者</t>
  </si>
  <si>
    <t>住所</t>
  </si>
  <si>
    <t>氏名　法人にあっては名称</t>
  </si>
  <si>
    <t>　　　及び代表者の氏名</t>
  </si>
  <si>
    <t>効果検証達成計画書</t>
  </si>
  <si>
    <t>１．今年度見込値</t>
  </si>
  <si>
    <t>評価項目</t>
  </si>
  <si>
    <t>単位</t>
  </si>
  <si>
    <t>申請値</t>
  </si>
  <si>
    <t>前年度実績</t>
  </si>
  <si>
    <t>今年度見込</t>
  </si>
  <si>
    <t>達成率（自動計算）</t>
  </si>
  <si>
    <t>省エネルギー量</t>
  </si>
  <si>
    <t>(</t>
  </si>
  <si>
    <t>省エネルギー率</t>
  </si>
  <si>
    <t>％</t>
  </si>
  <si>
    <t>２．未達理由</t>
  </si>
  <si>
    <t>３．改善策</t>
  </si>
  <si>
    <t>４．改善による効果（今年度見込の根拠）</t>
  </si>
  <si>
    <t>５．改善実施工程</t>
  </si>
  <si>
    <t>平成２７年度 分散型電源導入促進事業費補助金（うちガスコージェネレーション推進事業）</t>
  </si>
  <si>
    <t>(</t>
  </si>
  <si>
    <t>）</t>
  </si>
  <si>
    <t>（</t>
  </si>
  <si>
    <t xml:space="preserve"> ※今年度見込みの根拠資料として「実証データ(今年度見込)」を添付してください。</t>
  </si>
  <si>
    <t>（技術的新規性）</t>
  </si>
  <si>
    <t>kW</t>
  </si>
  <si>
    <t>kL/GJ</t>
  </si>
  <si>
    <t>GJ/GJ</t>
  </si>
  <si>
    <t>kL/MWh</t>
  </si>
  <si>
    <t>(%)</t>
  </si>
  <si>
    <t>平成２７年度</t>
  </si>
  <si>
    <t>MWｈ</t>
  </si>
  <si>
    <t>GJ</t>
  </si>
  <si>
    <t>Nm3換算&lt;温度補正&gt;</t>
  </si>
  <si>
    <t>エリア気温</t>
  </si>
  <si>
    <t>温度補正</t>
  </si>
  <si>
    <t>Nm3</t>
  </si>
  <si>
    <t>MWh</t>
  </si>
  <si>
    <t>kL</t>
  </si>
  <si>
    <t>Nm3/ｈ</t>
  </si>
  <si>
    <t>ｋW</t>
  </si>
  <si>
    <t>MJ/ｈ</t>
  </si>
  <si>
    <t>m3</t>
  </si>
  <si>
    <t>℃</t>
  </si>
  <si>
    <t>Nm3</t>
  </si>
  <si>
    <t>平成  年度</t>
  </si>
  <si>
    <t>★【入力ｼｰﾄ①・②】にご記入いただければ、結果ｼｰﾄが自動計算されます。</t>
  </si>
  <si>
    <t>省エネルギー・環境改善効果検証結果</t>
  </si>
  <si>
    <t>効果検証計測データシート（今年度見込み）</t>
  </si>
  <si>
    <t>【計測データ】</t>
  </si>
  <si>
    <r>
      <t>　・青色のセルを記入してください。</t>
    </r>
    <r>
      <rPr>
        <b/>
        <u val="single"/>
        <sz val="11"/>
        <color indexed="10"/>
        <rFont val="ＭＳ Ｐ明朝"/>
        <family val="1"/>
      </rPr>
      <t>（現状は試算例の数字が入力されています。提出の際には申請者固有の数字に置き換えて下さい。）</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</si>
</sst>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General&quot;℃&quot;"/>
    <numFmt numFmtId="179" formatCode="#,##0.0;[Red]\-#,##0.0"/>
    <numFmt numFmtId="180" formatCode="#,##0.000;[Red]\-#,##0.000"/>
    <numFmt numFmtId="181" formatCode="#,##0.0000;[Red]\-#,##0.0000"/>
    <numFmt numFmtId="182" formatCode="0.0&quot;℃&quot;"/>
    <numFmt numFmtId="183" formatCode="0.0000_ "/>
    <numFmt numFmtId="184" formatCode="0.000_ "/>
    <numFmt numFmtId="185" formatCode="0.0000000000_ "/>
    <numFmt numFmtId="186" formatCode="0.000000000_ "/>
    <numFmt numFmtId="187" formatCode="0.00000000_ "/>
    <numFmt numFmtId="188" formatCode="0.0000000_ "/>
    <numFmt numFmtId="189" formatCode="0.000000_ "/>
    <numFmt numFmtId="190" formatCode="0.00000_ "/>
    <numFmt numFmtId="191" formatCode="0_);[Red]\(0\)"/>
    <numFmt numFmtId="192" formatCode="0.0_ "/>
    <numFmt numFmtId="193" formatCode="General&quot;ヶ月&quot;"/>
    <numFmt numFmtId="194" formatCode="&quot;$&quot;#,##0_);[Red]\(&quot;$&quot;#,##0\)"/>
    <numFmt numFmtId="195" formatCode="&quot;$&quot;#,##0.00_);[Red]\(&quot;$&quot;#,##0.00\)"/>
    <numFmt numFmtId="196" formatCode="_ * #,##0.00_)_｣_ ;_ * \(#,##0.00\)_｣_ ;_ * &quot;-&quot;??_)_｣_ ;_ @_ "/>
    <numFmt numFmtId="197" formatCode="#,##0.00&quot; $&quot;;\-#,##0.00&quot; $&quot;"/>
    <numFmt numFmtId="198" formatCode="#,##0&quot;GJ　&quot;"/>
    <numFmt numFmtId="199" formatCode="&quot;　　＝&quot;#,##0&quot;GJ　&quot;"/>
    <numFmt numFmtId="200" formatCode="0.0"/>
    <numFmt numFmtId="201" formatCode="0.00_ "/>
    <numFmt numFmtId="202" formatCode="&quot;蒸気圧力：&quot;0.0&quot;MPa&quot;"/>
    <numFmt numFmtId="203" formatCode="&quot;給水温度：&quot;0.0&quot;℃&quot;"/>
    <numFmt numFmtId="204" formatCode="&quot;ﾎﾞｲﾗ効率&quot;0%"/>
    <numFmt numFmtId="205" formatCode="#,##0.00&quot;MJ/Nm3＝&quot;"/>
    <numFmt numFmtId="206" formatCode="0.0&quot;Nm3/h×&quot;"/>
    <numFmt numFmtId="207" formatCode="#,##0&quot;ｈ＝&quot;"/>
    <numFmt numFmtId="208" formatCode="0.0&quot;Nm3/h&quot;"/>
    <numFmt numFmtId="209" formatCode="#,##0&quot; kW÷&quot;"/>
    <numFmt numFmtId="210" formatCode="0%&quot;=&quot;"/>
    <numFmt numFmtId="211" formatCode="#,##0&quot; kW×&quot;"/>
    <numFmt numFmtId="212" formatCode="0.0\ &quot;MJ/kW÷&quot;"/>
    <numFmt numFmtId="213" formatCode="0&quot;時&quot;"/>
    <numFmt numFmtId="214" formatCode="#,##0&quot;h&quot;;\-#,##0"/>
    <numFmt numFmtId="215" formatCode="0_ "/>
    <numFmt numFmtId="216" formatCode="yyyy&quot;年&quot;m&quot;月&quot;d&quot;日&quot;;@"/>
    <numFmt numFmtId="217" formatCode="#,##0.0_);[Red]\(#,##0.0\)"/>
    <numFmt numFmtId="218" formatCode="#,##0.00_);[Red]\(#,##0.00\)"/>
    <numFmt numFmtId="219" formatCode="0.00_);[Red]\(0.00\)"/>
    <numFmt numFmtId="220" formatCode="0.0_);[Red]\(0.0\)"/>
  </numFmts>
  <fonts count="76">
    <font>
      <sz val="11"/>
      <name val="ＭＳ Ｐ明朝"/>
      <family val="1"/>
    </font>
    <font>
      <u val="single"/>
      <sz val="9"/>
      <color indexed="12"/>
      <name val="Times New Roman"/>
      <family val="1"/>
    </font>
    <font>
      <u val="single"/>
      <sz val="9"/>
      <color indexed="36"/>
      <name val="Times New Roman"/>
      <family val="1"/>
    </font>
    <font>
      <sz val="6"/>
      <name val="ＭＳ Ｐ明朝"/>
      <family val="1"/>
    </font>
    <font>
      <sz val="10"/>
      <name val="ＭＳ Ｐ明朝"/>
      <family val="1"/>
    </font>
    <font>
      <sz val="9"/>
      <color indexed="27"/>
      <name val="明朝"/>
      <family val="1"/>
    </font>
    <font>
      <sz val="11"/>
      <name val="ＭＳ ゴシック"/>
      <family val="3"/>
    </font>
    <font>
      <sz val="9"/>
      <name val="Times New Roman"/>
      <family val="1"/>
    </font>
    <font>
      <b/>
      <sz val="12"/>
      <name val="Arial"/>
      <family val="2"/>
    </font>
    <font>
      <sz val="10"/>
      <name val="MS Sans Serif"/>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明朝"/>
      <family val="1"/>
    </font>
    <font>
      <sz val="11"/>
      <name val="ＭＳ Ｐゴシック"/>
      <family val="3"/>
    </font>
    <font>
      <sz val="14"/>
      <name val="ＭＳ 明朝"/>
      <family val="1"/>
    </font>
    <font>
      <sz val="10"/>
      <name val="HG丸ｺﾞｼｯｸM-PRO"/>
      <family val="3"/>
    </font>
    <font>
      <b/>
      <sz val="10"/>
      <color indexed="10"/>
      <name val="HG丸ｺﾞｼｯｸM-PRO"/>
      <family val="3"/>
    </font>
    <font>
      <b/>
      <u val="single"/>
      <sz val="11"/>
      <color indexed="10"/>
      <name val="ＭＳ Ｐ明朝"/>
      <family val="1"/>
    </font>
    <font>
      <b/>
      <sz val="11"/>
      <color indexed="10"/>
      <name val="ＭＳ Ｐ明朝"/>
      <family val="1"/>
    </font>
    <font>
      <sz val="6"/>
      <name val="ＭＳ Ｐゴシック"/>
      <family val="3"/>
    </font>
    <font>
      <sz val="9"/>
      <name val="ＭＳ Ｐ明朝"/>
      <family val="1"/>
    </font>
    <font>
      <b/>
      <sz val="10"/>
      <color indexed="10"/>
      <name val="ＭＳ Ｐ明朝"/>
      <family val="1"/>
    </font>
    <font>
      <sz val="11"/>
      <name val="ＭＳ 明朝"/>
      <family val="1"/>
    </font>
    <font>
      <sz val="14"/>
      <name val="ＭＳ Ｐ明朝"/>
      <family val="1"/>
    </font>
    <font>
      <sz val="12"/>
      <name val="ＭＳ Ｐ明朝"/>
      <family val="1"/>
    </font>
    <font>
      <b/>
      <u val="single"/>
      <sz val="11"/>
      <name val="ＭＳ Ｐ明朝"/>
      <family val="1"/>
    </font>
    <font>
      <vertAlign val="superscript"/>
      <sz val="11"/>
      <name val="ＭＳ Ｐ明朝"/>
      <family val="1"/>
    </font>
    <font>
      <b/>
      <sz val="14"/>
      <color indexed="10"/>
      <name val="ＭＳ Ｐ明朝"/>
      <family val="1"/>
    </font>
    <font>
      <sz val="8"/>
      <name val="ＭＳ Ｐ明朝"/>
      <family val="1"/>
    </font>
    <font>
      <sz val="9"/>
      <name val="ＭＳ 明朝"/>
      <family val="1"/>
    </font>
    <font>
      <sz val="10"/>
      <name val="ＭＳ 明朝"/>
      <family val="1"/>
    </font>
    <font>
      <sz val="11"/>
      <color indexed="22"/>
      <name val="ＭＳ 明朝"/>
      <family val="1"/>
    </font>
    <font>
      <b/>
      <sz val="11"/>
      <name val="ＭＳ 明朝"/>
      <family val="1"/>
    </font>
    <font>
      <b/>
      <sz val="10.5"/>
      <name val="ＭＳ 明朝"/>
      <family val="1"/>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6"/>
      <color indexed="8"/>
      <name val="ＭＳ 明朝"/>
      <family val="1"/>
    </font>
    <font>
      <sz val="14"/>
      <color indexed="8"/>
      <name val="ＭＳ Ｐゴシック"/>
      <family val="3"/>
    </font>
    <font>
      <sz val="14"/>
      <color indexed="8"/>
      <name val="Calibri"/>
      <family val="2"/>
    </font>
    <font>
      <sz val="8"/>
      <color indexed="10"/>
      <name val="ＭＳ Ｐゴシック"/>
      <family val="3"/>
    </font>
    <font>
      <sz val="8"/>
      <color indexed="10"/>
      <name val="Calibri"/>
      <family val="2"/>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mediumGray">
        <fgColor indexed="8"/>
        <bgColor indexed="37"/>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99"/>
        <bgColor indexed="64"/>
      </patternFill>
    </fill>
  </fills>
  <borders count="6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top style="hair"/>
      <bottom style="thin"/>
    </border>
    <border>
      <left/>
      <right style="thin"/>
      <top style="hair"/>
      <bottom style="thin"/>
    </border>
    <border>
      <left>
        <color indexed="63"/>
      </left>
      <right>
        <color indexed="63"/>
      </right>
      <top>
        <color indexed="63"/>
      </top>
      <bottom style="thin"/>
    </border>
    <border>
      <left style="double"/>
      <right style="double"/>
      <top style="double"/>
      <bottom style="thin"/>
    </border>
    <border>
      <left style="double"/>
      <right style="thin"/>
      <top style="double"/>
      <bottom style="double"/>
    </border>
    <border>
      <left style="thin"/>
      <right style="double"/>
      <top style="double"/>
      <bottom style="double"/>
    </border>
    <border>
      <left style="double"/>
      <right style="double"/>
      <top style="thin"/>
      <bottom style="thin"/>
    </border>
    <border>
      <left style="double"/>
      <right style="double"/>
      <top style="thin"/>
      <bottom style="double"/>
    </border>
    <border>
      <left style="double"/>
      <right>
        <color indexed="63"/>
      </right>
      <top style="double"/>
      <bottom style="thin"/>
    </border>
    <border>
      <left>
        <color indexed="63"/>
      </left>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double"/>
      <top>
        <color indexed="63"/>
      </top>
      <bottom style="thin"/>
    </border>
    <border>
      <left style="double"/>
      <right>
        <color indexed="63"/>
      </right>
      <top style="thin"/>
      <bottom style="double"/>
    </border>
    <border>
      <left>
        <color indexed="63"/>
      </left>
      <right style="double"/>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dotted"/>
      <right style="dotted"/>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style="dotted"/>
      <top>
        <color indexed="63"/>
      </top>
      <bottom style="thin"/>
    </border>
    <border>
      <left>
        <color indexed="63"/>
      </left>
      <right style="dotted"/>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top style="hair"/>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 fontId="5" fillId="20" borderId="0" applyNumberFormat="0" applyBorder="0" applyAlignment="0" applyProtection="0"/>
    <xf numFmtId="193" fontId="6"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38" fontId="9" fillId="0" borderId="0" applyFont="0" applyFill="0" applyBorder="0" applyAlignment="0" applyProtection="0"/>
    <xf numFmtId="40"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7" fontId="6" fillId="0" borderId="0">
      <alignment/>
      <protection/>
    </xf>
    <xf numFmtId="0" fontId="10" fillId="0" borderId="0">
      <alignment/>
      <protection/>
    </xf>
    <xf numFmtId="4" fontId="7" fillId="0" borderId="0">
      <alignment horizontal="right"/>
      <protection/>
    </xf>
    <xf numFmtId="4" fontId="11" fillId="0" borderId="0">
      <alignment horizontal="right"/>
      <protection/>
    </xf>
    <xf numFmtId="0" fontId="12" fillId="0" borderId="0">
      <alignment horizontal="left"/>
      <protection/>
    </xf>
    <xf numFmtId="0" fontId="13" fillId="0" borderId="0">
      <alignment/>
      <protection/>
    </xf>
    <xf numFmtId="0" fontId="14" fillId="0" borderId="0">
      <alignment horizontal="center"/>
      <protection/>
    </xf>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191" fontId="15" fillId="0" borderId="0" applyFill="0" applyBorder="0">
      <alignment vertical="center"/>
      <protection/>
    </xf>
    <xf numFmtId="0" fontId="61" fillId="0" borderId="0" applyNumberFormat="0" applyFill="0" applyBorder="0" applyAlignment="0" applyProtection="0"/>
    <xf numFmtId="0" fontId="62" fillId="27" borderId="3" applyNumberFormat="0" applyAlignment="0" applyProtection="0"/>
    <xf numFmtId="0" fontId="63" fillId="28" borderId="0" applyNumberFormat="0" applyBorder="0" applyAlignment="0" applyProtection="0"/>
    <xf numFmtId="9" fontId="0" fillId="0" borderId="0" applyFont="0" applyFill="0" applyBorder="0" applyAlignment="0" applyProtection="0"/>
    <xf numFmtId="9" fontId="16" fillId="0" borderId="0" applyFont="0" applyFill="0" applyBorder="0" applyAlignment="0" applyProtection="0"/>
    <xf numFmtId="0" fontId="1" fillId="0" borderId="0" applyNumberFormat="0" applyFill="0" applyBorder="0" applyAlignment="0" applyProtection="0"/>
    <xf numFmtId="0" fontId="0" fillId="29" borderId="4" applyNumberFormat="0" applyFont="0" applyAlignment="0" applyProtection="0"/>
    <xf numFmtId="0" fontId="64" fillId="0" borderId="5" applyNumberFormat="0" applyFill="0" applyAlignment="0" applyProtection="0"/>
    <xf numFmtId="0" fontId="65" fillId="30" borderId="0" applyNumberFormat="0" applyBorder="0" applyAlignment="0" applyProtection="0"/>
    <xf numFmtId="0" fontId="16" fillId="0" borderId="6">
      <alignment/>
      <protection/>
    </xf>
    <xf numFmtId="0" fontId="66" fillId="31" borderId="7"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6"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31" borderId="12"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2" borderId="7" applyNumberFormat="0" applyAlignment="0" applyProtection="0"/>
    <xf numFmtId="0" fontId="16" fillId="0" borderId="0">
      <alignment vertical="center"/>
      <protection/>
    </xf>
    <xf numFmtId="0" fontId="6" fillId="0" borderId="0">
      <alignment/>
      <protection/>
    </xf>
    <xf numFmtId="0" fontId="6" fillId="0" borderId="0">
      <alignment/>
      <protection/>
    </xf>
    <xf numFmtId="196" fontId="6" fillId="0" borderId="0" applyFill="0" applyBorder="0" applyProtection="0">
      <alignment vertical="center"/>
    </xf>
    <xf numFmtId="196" fontId="6" fillId="0" borderId="0">
      <alignment vertical="center"/>
      <protection locked="0"/>
    </xf>
    <xf numFmtId="196" fontId="6" fillId="0" borderId="0" applyFill="0" applyBorder="0" applyProtection="0">
      <alignment vertical="center"/>
    </xf>
    <xf numFmtId="0" fontId="2" fillId="0" borderId="0" applyNumberFormat="0" applyFill="0" applyBorder="0" applyAlignment="0" applyProtection="0"/>
    <xf numFmtId="0" fontId="17" fillId="0" borderId="0">
      <alignment/>
      <protection/>
    </xf>
    <xf numFmtId="0" fontId="75" fillId="33" borderId="0" applyNumberFormat="0" applyBorder="0" applyAlignment="0" applyProtection="0"/>
  </cellStyleXfs>
  <cellXfs count="412">
    <xf numFmtId="0" fontId="0" fillId="0" borderId="0" xfId="0" applyAlignment="1">
      <alignment/>
    </xf>
    <xf numFmtId="0" fontId="18" fillId="0" borderId="0" xfId="0" applyFont="1" applyAlignment="1">
      <alignment horizontal="left"/>
    </xf>
    <xf numFmtId="0" fontId="18" fillId="0" borderId="0" xfId="0" applyFont="1" applyAlignment="1">
      <alignment horizontal="center"/>
    </xf>
    <xf numFmtId="0" fontId="18" fillId="0" borderId="13" xfId="0" applyFont="1" applyBorder="1" applyAlignment="1">
      <alignment horizontal="center"/>
    </xf>
    <xf numFmtId="0" fontId="18" fillId="34" borderId="13" xfId="0" applyFont="1" applyFill="1" applyBorder="1" applyAlignment="1">
      <alignment horizontal="center"/>
    </xf>
    <xf numFmtId="0" fontId="18" fillId="0" borderId="14" xfId="0" applyFont="1" applyBorder="1" applyAlignment="1">
      <alignment horizontal="center"/>
    </xf>
    <xf numFmtId="38" fontId="18" fillId="34" borderId="13" xfId="68" applyFont="1" applyFill="1" applyBorder="1" applyAlignment="1">
      <alignment horizontal="center"/>
    </xf>
    <xf numFmtId="0" fontId="18" fillId="35" borderId="13" xfId="0" applyFont="1" applyFill="1" applyBorder="1" applyAlignment="1">
      <alignment horizontal="center"/>
    </xf>
    <xf numFmtId="0" fontId="18" fillId="0" borderId="0" xfId="0" applyFont="1" applyBorder="1" applyAlignment="1">
      <alignment horizontal="center"/>
    </xf>
    <xf numFmtId="0" fontId="18" fillId="36" borderId="13" xfId="0" applyFont="1" applyFill="1" applyBorder="1" applyAlignment="1">
      <alignment horizontal="center"/>
    </xf>
    <xf numFmtId="9" fontId="18" fillId="34" borderId="13" xfId="59" applyFont="1" applyFill="1" applyBorder="1" applyAlignment="1">
      <alignment horizontal="center"/>
    </xf>
    <xf numFmtId="0" fontId="19" fillId="0" borderId="0" xfId="0" applyFont="1" applyAlignment="1">
      <alignment horizontal="left"/>
    </xf>
    <xf numFmtId="38" fontId="18" fillId="35" borderId="13" xfId="68" applyFont="1" applyFill="1" applyBorder="1" applyAlignment="1">
      <alignment horizontal="center"/>
    </xf>
    <xf numFmtId="38" fontId="18" fillId="35" borderId="13" xfId="0" applyNumberFormat="1" applyFont="1" applyFill="1" applyBorder="1" applyAlignment="1">
      <alignment horizontal="center"/>
    </xf>
    <xf numFmtId="40" fontId="18" fillId="35" borderId="13" xfId="68" applyNumberFormat="1" applyFont="1" applyFill="1" applyBorder="1" applyAlignment="1">
      <alignment horizontal="center"/>
    </xf>
    <xf numFmtId="201" fontId="18" fillId="35" borderId="13" xfId="0" applyNumberFormat="1" applyFont="1" applyFill="1" applyBorder="1" applyAlignment="1">
      <alignment horizontal="center"/>
    </xf>
    <xf numFmtId="201" fontId="18" fillId="35" borderId="13" xfId="68" applyNumberFormat="1" applyFont="1" applyFill="1" applyBorder="1" applyAlignment="1">
      <alignment horizontal="center"/>
    </xf>
    <xf numFmtId="201" fontId="18" fillId="34" borderId="13" xfId="68" applyNumberFormat="1" applyFont="1" applyFill="1" applyBorder="1" applyAlignment="1">
      <alignment horizontal="center"/>
    </xf>
    <xf numFmtId="0" fontId="18" fillId="0" borderId="13" xfId="0" applyFont="1" applyFill="1" applyBorder="1" applyAlignment="1">
      <alignment horizontal="center"/>
    </xf>
    <xf numFmtId="40" fontId="18" fillId="34" borderId="13" xfId="68" applyNumberFormat="1" applyFont="1" applyFill="1" applyBorder="1" applyAlignment="1">
      <alignment horizontal="center"/>
    </xf>
    <xf numFmtId="0" fontId="19"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84" applyFont="1" applyAlignment="1">
      <alignment horizontal="center" vertical="center"/>
      <protection/>
    </xf>
    <xf numFmtId="0" fontId="18" fillId="0" borderId="13" xfId="84" applyFont="1" applyBorder="1" applyAlignment="1">
      <alignment horizontal="center" vertical="center"/>
      <protection/>
    </xf>
    <xf numFmtId="38" fontId="18" fillId="34" borderId="13" xfId="68" applyFont="1" applyFill="1" applyBorder="1" applyAlignment="1">
      <alignment horizontal="center" vertical="center"/>
    </xf>
    <xf numFmtId="0" fontId="18" fillId="0" borderId="0" xfId="84" applyFont="1" applyBorder="1" applyAlignment="1">
      <alignment horizontal="center" vertical="center"/>
      <protection/>
    </xf>
    <xf numFmtId="0" fontId="18" fillId="0" borderId="13" xfId="0" applyFont="1" applyBorder="1" applyAlignment="1">
      <alignment horizontal="center" vertical="center"/>
    </xf>
    <xf numFmtId="0" fontId="18" fillId="0" borderId="13" xfId="0" applyFont="1" applyFill="1" applyBorder="1" applyAlignment="1">
      <alignment horizontal="center" vertical="center"/>
    </xf>
    <xf numFmtId="192" fontId="18" fillId="35" borderId="13" xfId="0" applyNumberFormat="1" applyFont="1" applyFill="1" applyBorder="1" applyAlignment="1">
      <alignment horizontal="center" vertical="center" wrapText="1"/>
    </xf>
    <xf numFmtId="0" fontId="18" fillId="35" borderId="13" xfId="0" applyFont="1" applyFill="1" applyBorder="1" applyAlignment="1">
      <alignment horizontal="center" vertical="center"/>
    </xf>
    <xf numFmtId="192" fontId="18" fillId="35" borderId="13" xfId="0" applyNumberFormat="1" applyFont="1" applyFill="1" applyBorder="1" applyAlignment="1">
      <alignment horizontal="center" vertical="center"/>
    </xf>
    <xf numFmtId="0" fontId="18" fillId="34" borderId="13" xfId="0" applyFont="1" applyFill="1" applyBorder="1" applyAlignment="1">
      <alignment horizontal="center" vertical="center"/>
    </xf>
    <xf numFmtId="176" fontId="18" fillId="35" borderId="13" xfId="59" applyNumberFormat="1" applyFont="1" applyFill="1" applyBorder="1" applyAlignment="1">
      <alignment horizontal="center" vertical="center"/>
    </xf>
    <xf numFmtId="0" fontId="19" fillId="0" borderId="0" xfId="0" applyFont="1" applyAlignment="1">
      <alignment horizontal="left" vertical="center"/>
    </xf>
    <xf numFmtId="176" fontId="18" fillId="35" borderId="13" xfId="0" applyNumberFormat="1" applyFont="1" applyFill="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left" vertical="center"/>
    </xf>
    <xf numFmtId="38" fontId="18" fillId="35" borderId="13" xfId="68" applyFont="1" applyFill="1" applyBorder="1" applyAlignment="1">
      <alignment horizontal="center" vertical="center"/>
    </xf>
    <xf numFmtId="0" fontId="0" fillId="34" borderId="13" xfId="0" applyFill="1" applyBorder="1" applyAlignment="1">
      <alignment/>
    </xf>
    <xf numFmtId="0" fontId="0" fillId="35" borderId="13" xfId="0" applyFill="1" applyBorder="1" applyAlignment="1">
      <alignment/>
    </xf>
    <xf numFmtId="0" fontId="21" fillId="0" borderId="0" xfId="0" applyFont="1" applyFill="1" applyBorder="1" applyAlignment="1">
      <alignment/>
    </xf>
    <xf numFmtId="0" fontId="0" fillId="0" borderId="0" xfId="0" applyFill="1" applyAlignment="1">
      <alignment/>
    </xf>
    <xf numFmtId="0" fontId="21" fillId="0" borderId="0" xfId="0" applyFont="1" applyAlignment="1">
      <alignment/>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38" fontId="4" fillId="0" borderId="13" xfId="68" applyFont="1" applyBorder="1" applyAlignment="1">
      <alignment horizontal="center" vertical="center" wrapText="1"/>
    </xf>
    <xf numFmtId="201" fontId="4" fillId="0" borderId="13" xfId="0" applyNumberFormat="1" applyFont="1" applyBorder="1" applyAlignment="1">
      <alignment horizontal="center" vertical="center" wrapText="1"/>
    </xf>
    <xf numFmtId="38" fontId="4" fillId="0" borderId="0" xfId="68" applyFont="1" applyAlignment="1">
      <alignment horizontal="center" vertical="center" wrapText="1"/>
    </xf>
    <xf numFmtId="38" fontId="23" fillId="0" borderId="14" xfId="68" applyFont="1" applyBorder="1" applyAlignment="1">
      <alignment horizontal="center" vertical="center" wrapText="1"/>
    </xf>
    <xf numFmtId="38" fontId="4" fillId="0" borderId="15" xfId="68" applyFont="1" applyBorder="1" applyAlignment="1">
      <alignment horizontal="center" vertical="center" wrapText="1"/>
    </xf>
    <xf numFmtId="0" fontId="4" fillId="0" borderId="0" xfId="0" applyFont="1" applyAlignment="1">
      <alignment horizontal="left" vertical="center"/>
    </xf>
    <xf numFmtId="38" fontId="4" fillId="35" borderId="13" xfId="68" applyFont="1" applyFill="1" applyBorder="1" applyAlignment="1">
      <alignment horizontal="center" vertical="center" wrapText="1"/>
    </xf>
    <xf numFmtId="0" fontId="4" fillId="35" borderId="13" xfId="0" applyFont="1" applyFill="1" applyBorder="1" applyAlignment="1">
      <alignment horizontal="center" vertical="center" wrapText="1"/>
    </xf>
    <xf numFmtId="176" fontId="4" fillId="35" borderId="13" xfId="59"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38" fontId="4" fillId="0" borderId="13" xfId="68" applyFont="1" applyFill="1" applyBorder="1" applyAlignment="1">
      <alignment horizontal="center" vertical="center" wrapText="1"/>
    </xf>
    <xf numFmtId="38" fontId="4" fillId="0" borderId="15" xfId="68" applyFont="1" applyFill="1" applyBorder="1" applyAlignment="1">
      <alignment horizontal="center" vertical="center" wrapText="1"/>
    </xf>
    <xf numFmtId="0" fontId="4" fillId="0" borderId="15" xfId="0" applyFont="1" applyFill="1" applyBorder="1" applyAlignment="1">
      <alignment horizontal="center" vertical="center" wrapText="1"/>
    </xf>
    <xf numFmtId="38" fontId="4" fillId="34" borderId="13" xfId="68"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0" xfId="0" applyFont="1" applyAlignment="1">
      <alignment horizontal="left" vertical="center" wrapText="1"/>
    </xf>
    <xf numFmtId="38" fontId="4" fillId="0" borderId="0" xfId="68" applyFont="1" applyBorder="1" applyAlignment="1">
      <alignment horizontal="center" vertical="center" wrapText="1"/>
    </xf>
    <xf numFmtId="201" fontId="4" fillId="0" borderId="0" xfId="0" applyNumberFormat="1" applyFont="1" applyBorder="1" applyAlignment="1">
      <alignment horizontal="center" vertical="center" wrapText="1"/>
    </xf>
    <xf numFmtId="0" fontId="18" fillId="0" borderId="0" xfId="84" applyFont="1" applyAlignment="1">
      <alignment vertical="center"/>
      <protection/>
    </xf>
    <xf numFmtId="0" fontId="18" fillId="0" borderId="13" xfId="84" applyFont="1" applyBorder="1" applyAlignment="1">
      <alignment vertical="center"/>
      <protection/>
    </xf>
    <xf numFmtId="0" fontId="18" fillId="0" borderId="13" xfId="0" applyFont="1" applyBorder="1" applyAlignment="1">
      <alignment vertical="center"/>
    </xf>
    <xf numFmtId="0" fontId="0" fillId="37" borderId="13" xfId="0" applyFill="1" applyBorder="1" applyAlignment="1">
      <alignment/>
    </xf>
    <xf numFmtId="0" fontId="4" fillId="0" borderId="2" xfId="0" applyFont="1" applyFill="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16" xfId="0" applyFont="1" applyBorder="1" applyAlignment="1">
      <alignment horizontal="centerContinuous" vertical="center" wrapText="1"/>
    </xf>
    <xf numFmtId="40" fontId="4" fillId="35" borderId="13" xfId="68" applyNumberFormat="1" applyFont="1" applyFill="1" applyBorder="1" applyAlignment="1">
      <alignment horizontal="center" vertical="center" wrapText="1"/>
    </xf>
    <xf numFmtId="38" fontId="4" fillId="0" borderId="13" xfId="68" applyFont="1" applyBorder="1" applyAlignment="1" applyProtection="1">
      <alignment horizontal="center" vertical="center" wrapText="1"/>
      <protection locked="0"/>
    </xf>
    <xf numFmtId="38" fontId="4" fillId="0" borderId="14" xfId="68" applyFont="1" applyBorder="1" applyAlignment="1" applyProtection="1">
      <alignment horizontal="center" vertical="center" wrapText="1"/>
      <protection locked="0"/>
    </xf>
    <xf numFmtId="38" fontId="4" fillId="0" borderId="2" xfId="68" applyFont="1" applyBorder="1" applyAlignment="1" applyProtection="1">
      <alignment horizontal="center" vertical="center" wrapText="1"/>
      <protection locked="0"/>
    </xf>
    <xf numFmtId="38" fontId="4" fillId="0" borderId="16" xfId="68" applyFont="1" applyBorder="1" applyAlignment="1" applyProtection="1">
      <alignment horizontal="center" vertical="center" wrapText="1"/>
      <protection locked="0"/>
    </xf>
    <xf numFmtId="38" fontId="4" fillId="0" borderId="14" xfId="68" applyFont="1" applyBorder="1" applyAlignment="1">
      <alignment horizontal="centerContinuous" vertical="center"/>
    </xf>
    <xf numFmtId="38" fontId="4" fillId="0" borderId="2" xfId="68" applyFont="1" applyBorder="1" applyAlignment="1">
      <alignment horizontal="centerContinuous" vertical="center" wrapText="1"/>
    </xf>
    <xf numFmtId="38" fontId="4" fillId="0" borderId="16" xfId="68" applyFont="1" applyBorder="1" applyAlignment="1">
      <alignment horizontal="centerContinuous" vertical="center" wrapText="1"/>
    </xf>
    <xf numFmtId="38" fontId="4" fillId="0" borderId="16" xfId="68" applyFont="1" applyBorder="1" applyAlignment="1">
      <alignment horizontal="center" vertical="center" wrapText="1"/>
    </xf>
    <xf numFmtId="216" fontId="4" fillId="0" borderId="13" xfId="0" applyNumberFormat="1" applyFont="1" applyBorder="1" applyAlignment="1">
      <alignment horizontal="center" vertical="center" wrapText="1"/>
    </xf>
    <xf numFmtId="0" fontId="4" fillId="37"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24" fillId="0" borderId="2" xfId="0" applyFont="1" applyBorder="1" applyAlignment="1">
      <alignment horizontal="left" vertical="center" wrapText="1"/>
    </xf>
    <xf numFmtId="38" fontId="4" fillId="0" borderId="2" xfId="68" applyFont="1" applyBorder="1" applyAlignment="1">
      <alignment horizontal="center" vertical="center" wrapText="1"/>
    </xf>
    <xf numFmtId="0" fontId="4" fillId="0" borderId="14" xfId="0" applyFont="1" applyFill="1" applyBorder="1" applyAlignment="1">
      <alignment horizontal="centerContinuous" vertical="center"/>
    </xf>
    <xf numFmtId="215" fontId="4" fillId="0" borderId="13" xfId="0" applyNumberFormat="1" applyFont="1" applyBorder="1" applyAlignment="1">
      <alignment horizontal="center" vertical="center" wrapText="1"/>
    </xf>
    <xf numFmtId="0" fontId="25" fillId="0" borderId="0" xfId="0" applyFont="1" applyAlignment="1">
      <alignment vertical="center"/>
    </xf>
    <xf numFmtId="0" fontId="0" fillId="0" borderId="0" xfId="0" applyAlignment="1">
      <alignment vertical="center"/>
    </xf>
    <xf numFmtId="0" fontId="26" fillId="0" borderId="0" xfId="83" applyFont="1" applyAlignment="1">
      <alignment vertical="center"/>
      <protection/>
    </xf>
    <xf numFmtId="0" fontId="0" fillId="0" borderId="17" xfId="0" applyBorder="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38" fontId="0" fillId="0" borderId="14" xfId="70" applyFont="1" applyBorder="1" applyAlignment="1">
      <alignment vertical="center"/>
    </xf>
    <xf numFmtId="0" fontId="0" fillId="0" borderId="17" xfId="0" applyBorder="1" applyAlignment="1">
      <alignment vertical="center"/>
    </xf>
    <xf numFmtId="0" fontId="0" fillId="0" borderId="14" xfId="0" applyBorder="1" applyAlignment="1">
      <alignment horizontal="right" vertical="center"/>
    </xf>
    <xf numFmtId="38" fontId="0" fillId="0" borderId="14" xfId="0" applyNumberFormat="1" applyBorder="1" applyAlignment="1">
      <alignment vertical="center"/>
    </xf>
    <xf numFmtId="0" fontId="0" fillId="0" borderId="18" xfId="0" applyBorder="1" applyAlignment="1">
      <alignment vertical="center"/>
    </xf>
    <xf numFmtId="0" fontId="0" fillId="0" borderId="2" xfId="0" applyBorder="1" applyAlignment="1">
      <alignment horizontal="right" vertical="center"/>
    </xf>
    <xf numFmtId="38" fontId="0" fillId="0" borderId="2" xfId="0" applyNumberFormat="1"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38" fontId="0" fillId="0" borderId="19" xfId="0" applyNumberFormat="1" applyBorder="1" applyAlignment="1">
      <alignment vertical="center"/>
    </xf>
    <xf numFmtId="0" fontId="0" fillId="0" borderId="20" xfId="0" applyBorder="1" applyAlignment="1">
      <alignment vertical="center"/>
    </xf>
    <xf numFmtId="38" fontId="0" fillId="0" borderId="14" xfId="70" applyBorder="1" applyAlignment="1">
      <alignment vertical="center"/>
    </xf>
    <xf numFmtId="0" fontId="0" fillId="0" borderId="16" xfId="0" applyFont="1" applyBorder="1" applyAlignment="1">
      <alignment vertical="center"/>
    </xf>
    <xf numFmtId="0" fontId="0" fillId="0" borderId="0" xfId="0" applyBorder="1" applyAlignment="1">
      <alignment vertical="center"/>
    </xf>
    <xf numFmtId="179" fontId="0" fillId="0" borderId="0" xfId="70" applyNumberFormat="1" applyBorder="1" applyAlignment="1">
      <alignment vertical="center"/>
    </xf>
    <xf numFmtId="0" fontId="0" fillId="0" borderId="0" xfId="0" applyAlignment="1">
      <alignment horizontal="center" vertical="center"/>
    </xf>
    <xf numFmtId="0" fontId="25" fillId="0" borderId="0" xfId="82" applyFont="1">
      <alignment vertical="center"/>
      <protection/>
    </xf>
    <xf numFmtId="0" fontId="25" fillId="0" borderId="0" xfId="82" applyFont="1" applyBorder="1" applyAlignment="1">
      <alignment horizontal="center" vertical="center"/>
      <protection/>
    </xf>
    <xf numFmtId="0" fontId="25" fillId="0" borderId="20" xfId="82" applyFont="1" applyBorder="1" applyAlignment="1">
      <alignment vertical="center"/>
      <protection/>
    </xf>
    <xf numFmtId="0" fontId="33" fillId="0" borderId="21" xfId="82" applyFont="1" applyBorder="1" applyAlignment="1">
      <alignment vertical="center"/>
      <protection/>
    </xf>
    <xf numFmtId="49" fontId="33" fillId="0" borderId="22" xfId="82" applyNumberFormat="1" applyFont="1" applyBorder="1" applyAlignment="1">
      <alignment horizontal="center" vertical="center"/>
      <protection/>
    </xf>
    <xf numFmtId="0" fontId="33" fillId="0" borderId="22" xfId="82" applyFont="1" applyBorder="1" applyAlignment="1">
      <alignment vertical="center"/>
      <protection/>
    </xf>
    <xf numFmtId="0" fontId="25" fillId="0" borderId="22" xfId="82" applyFont="1" applyBorder="1" applyAlignment="1">
      <alignment vertical="center"/>
      <protection/>
    </xf>
    <xf numFmtId="0" fontId="25" fillId="0" borderId="23" xfId="82" applyFont="1" applyBorder="1" applyAlignment="1">
      <alignment vertical="center"/>
      <protection/>
    </xf>
    <xf numFmtId="0" fontId="25" fillId="0" borderId="0" xfId="82" applyFont="1" applyBorder="1" applyAlignment="1">
      <alignment vertical="center"/>
      <protection/>
    </xf>
    <xf numFmtId="0" fontId="25" fillId="0" borderId="24" xfId="82" applyFont="1" applyBorder="1" applyAlignment="1">
      <alignment vertical="center"/>
      <protection/>
    </xf>
    <xf numFmtId="0" fontId="33" fillId="0" borderId="0" xfId="82" applyFont="1">
      <alignment vertical="center"/>
      <protection/>
    </xf>
    <xf numFmtId="0" fontId="33" fillId="0" borderId="0" xfId="82" applyFont="1" applyBorder="1" applyAlignment="1">
      <alignment vertical="center"/>
      <protection/>
    </xf>
    <xf numFmtId="0" fontId="32" fillId="0" borderId="0" xfId="82" applyFont="1" applyBorder="1" applyAlignment="1">
      <alignment vertical="center"/>
      <protection/>
    </xf>
    <xf numFmtId="0" fontId="33" fillId="0" borderId="0" xfId="82" applyFont="1" applyBorder="1" applyAlignment="1">
      <alignment horizontal="center" vertical="center"/>
      <protection/>
    </xf>
    <xf numFmtId="0" fontId="33" fillId="0" borderId="0" xfId="0" applyFont="1" applyAlignment="1">
      <alignment vertical="center"/>
    </xf>
    <xf numFmtId="0" fontId="32"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quotePrefix="1">
      <alignment horizontal="center" vertical="center"/>
    </xf>
    <xf numFmtId="0" fontId="25" fillId="0" borderId="0" xfId="0" applyFont="1" applyAlignment="1">
      <alignment vertical="center" wrapText="1"/>
    </xf>
    <xf numFmtId="0" fontId="25" fillId="0" borderId="0" xfId="0" applyFont="1" applyBorder="1" applyAlignment="1">
      <alignment vertical="center" wrapText="1"/>
    </xf>
    <xf numFmtId="0" fontId="0" fillId="0" borderId="0" xfId="0" applyFont="1" applyAlignment="1">
      <alignment vertical="center" wrapText="1"/>
    </xf>
    <xf numFmtId="0" fontId="25" fillId="0" borderId="0" xfId="0" applyFont="1" applyAlignment="1">
      <alignment horizontal="right" vertical="center" wrapText="1"/>
    </xf>
    <xf numFmtId="0" fontId="25" fillId="0" borderId="0" xfId="0" applyFont="1" applyBorder="1" applyAlignment="1">
      <alignment horizontal="center" vertical="center" wrapText="1"/>
    </xf>
    <xf numFmtId="0" fontId="0" fillId="0" borderId="0" xfId="0" applyFont="1" applyAlignment="1">
      <alignment horizontal="center" vertical="center" wrapText="1"/>
    </xf>
    <xf numFmtId="0" fontId="25" fillId="0" borderId="0" xfId="0" applyFont="1" applyAlignment="1">
      <alignment horizontal="right" wrapText="1"/>
    </xf>
    <xf numFmtId="0" fontId="35" fillId="0" borderId="0" xfId="0" applyFont="1" applyAlignment="1">
      <alignment vertical="center"/>
    </xf>
    <xf numFmtId="0" fontId="25" fillId="0" borderId="25" xfId="0" applyFont="1" applyBorder="1" applyAlignment="1">
      <alignment vertical="top"/>
    </xf>
    <xf numFmtId="0" fontId="25" fillId="0" borderId="26" xfId="0" applyFont="1" applyBorder="1" applyAlignment="1">
      <alignment vertical="top"/>
    </xf>
    <xf numFmtId="0" fontId="25" fillId="0" borderId="27" xfId="0" applyFont="1" applyBorder="1" applyAlignment="1">
      <alignment vertical="top"/>
    </xf>
    <xf numFmtId="0" fontId="25" fillId="0" borderId="20" xfId="0" applyFont="1" applyBorder="1" applyAlignment="1">
      <alignment vertical="top"/>
    </xf>
    <xf numFmtId="0" fontId="25" fillId="0" borderId="0" xfId="0" applyFont="1" applyAlignment="1">
      <alignment vertical="top"/>
    </xf>
    <xf numFmtId="0" fontId="0" fillId="0" borderId="0" xfId="0" applyFont="1" applyAlignment="1">
      <alignment horizontal="left" vertical="top"/>
    </xf>
    <xf numFmtId="0" fontId="25" fillId="0" borderId="19" xfId="82" applyFont="1" applyBorder="1" applyAlignment="1">
      <alignment horizontal="center" vertical="center"/>
      <protection/>
    </xf>
    <xf numFmtId="0" fontId="25" fillId="0" borderId="27" xfId="82" applyFont="1" applyBorder="1" applyAlignment="1">
      <alignment horizontal="center" vertical="center"/>
      <protection/>
    </xf>
    <xf numFmtId="0" fontId="25" fillId="0" borderId="19" xfId="82" applyFont="1" applyBorder="1" applyAlignment="1">
      <alignment vertical="center"/>
      <protection/>
    </xf>
    <xf numFmtId="0" fontId="25" fillId="0" borderId="27" xfId="82" applyFont="1" applyBorder="1" applyAlignment="1">
      <alignment vertical="center"/>
      <protection/>
    </xf>
    <xf numFmtId="0" fontId="25" fillId="0" borderId="26" xfId="82" applyFont="1" applyBorder="1" applyAlignment="1">
      <alignment vertical="center"/>
      <protection/>
    </xf>
    <xf numFmtId="176" fontId="25" fillId="0" borderId="27" xfId="60" applyNumberFormat="1" applyFont="1" applyBorder="1" applyAlignment="1">
      <alignment vertical="center"/>
    </xf>
    <xf numFmtId="176" fontId="25" fillId="0" borderId="25" xfId="60" applyNumberFormat="1" applyFont="1" applyBorder="1" applyAlignment="1">
      <alignment vertical="center"/>
    </xf>
    <xf numFmtId="38" fontId="4" fillId="0" borderId="0" xfId="70" applyFont="1" applyAlignment="1">
      <alignment horizontal="center" vertical="center" wrapText="1"/>
    </xf>
    <xf numFmtId="38" fontId="4" fillId="0" borderId="13" xfId="70" applyFont="1" applyBorder="1" applyAlignment="1" applyProtection="1">
      <alignment horizontal="center" vertical="center" wrapText="1"/>
      <protection locked="0"/>
    </xf>
    <xf numFmtId="38" fontId="4" fillId="37" borderId="13" xfId="70" applyFont="1" applyFill="1" applyBorder="1" applyAlignment="1" applyProtection="1">
      <alignment horizontal="center" vertical="center" wrapText="1"/>
      <protection locked="0"/>
    </xf>
    <xf numFmtId="38" fontId="4" fillId="37" borderId="14" xfId="70" applyFont="1" applyFill="1" applyBorder="1" applyAlignment="1" applyProtection="1">
      <alignment horizontal="center" vertical="center" wrapText="1"/>
      <protection locked="0"/>
    </xf>
    <xf numFmtId="38" fontId="4" fillId="37" borderId="2" xfId="70" applyFont="1" applyFill="1" applyBorder="1" applyAlignment="1" applyProtection="1">
      <alignment horizontal="center" vertical="center" wrapText="1"/>
      <protection locked="0"/>
    </xf>
    <xf numFmtId="38" fontId="4" fillId="37" borderId="16" xfId="70" applyFont="1" applyFill="1" applyBorder="1" applyAlignment="1" applyProtection="1">
      <alignment horizontal="center" vertical="center" wrapText="1"/>
      <protection locked="0"/>
    </xf>
    <xf numFmtId="216" fontId="4" fillId="37" borderId="13" xfId="0" applyNumberFormat="1" applyFont="1" applyFill="1" applyBorder="1" applyAlignment="1">
      <alignment horizontal="center" vertical="center" wrapText="1"/>
    </xf>
    <xf numFmtId="38" fontId="4" fillId="0" borderId="0" xfId="70" applyFont="1" applyBorder="1" applyAlignment="1">
      <alignment horizontal="center" vertical="center" wrapText="1"/>
    </xf>
    <xf numFmtId="0" fontId="4" fillId="0" borderId="28" xfId="0" applyFont="1" applyBorder="1" applyAlignment="1">
      <alignment horizontal="center" vertical="center" wrapText="1"/>
    </xf>
    <xf numFmtId="38" fontId="4" fillId="0" borderId="29" xfId="70" applyFont="1" applyBorder="1" applyAlignment="1">
      <alignment horizontal="center" vertical="center" wrapText="1"/>
    </xf>
    <xf numFmtId="38" fontId="4" fillId="0" borderId="30" xfId="70" applyFont="1" applyBorder="1" applyAlignment="1">
      <alignment horizontal="center" vertical="center" wrapText="1"/>
    </xf>
    <xf numFmtId="38" fontId="4" fillId="0" borderId="14" xfId="70" applyFont="1" applyBorder="1" applyAlignment="1">
      <alignment horizontal="centerContinuous" vertical="center"/>
    </xf>
    <xf numFmtId="38" fontId="4" fillId="0" borderId="2" xfId="70" applyFont="1" applyBorder="1" applyAlignment="1">
      <alignment horizontal="centerContinuous" vertical="center" wrapText="1"/>
    </xf>
    <xf numFmtId="0" fontId="4" fillId="37" borderId="28" xfId="0" applyFont="1" applyFill="1" applyBorder="1" applyAlignment="1">
      <alignment horizontal="center" vertical="center" wrapText="1"/>
    </xf>
    <xf numFmtId="38" fontId="4" fillId="0" borderId="16" xfId="70" applyFont="1" applyBorder="1" applyAlignment="1">
      <alignment horizontal="center" vertical="center" wrapText="1"/>
    </xf>
    <xf numFmtId="201" fontId="4" fillId="0" borderId="3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37" borderId="32" xfId="0" applyFont="1" applyFill="1" applyBorder="1" applyAlignment="1">
      <alignment horizontal="center" vertical="center" wrapText="1"/>
    </xf>
    <xf numFmtId="201" fontId="4" fillId="0" borderId="3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24" fillId="0" borderId="22" xfId="0" applyFont="1" applyBorder="1" applyAlignment="1">
      <alignment horizontal="left" vertical="center" wrapText="1"/>
    </xf>
    <xf numFmtId="38" fontId="4" fillId="0" borderId="22" xfId="70" applyFont="1" applyBorder="1" applyAlignment="1">
      <alignment horizontal="center" vertical="center" wrapText="1"/>
    </xf>
    <xf numFmtId="38" fontId="4" fillId="0" borderId="23" xfId="70" applyFont="1" applyBorder="1" applyAlignment="1">
      <alignment horizontal="center" vertical="center" wrapText="1"/>
    </xf>
    <xf numFmtId="38" fontId="4" fillId="0" borderId="13" xfId="70" applyFont="1" applyFill="1" applyBorder="1" applyAlignment="1">
      <alignment horizontal="center" vertical="center" wrapText="1"/>
    </xf>
    <xf numFmtId="0" fontId="4" fillId="0" borderId="14" xfId="0" applyFont="1" applyFill="1" applyBorder="1" applyAlignment="1">
      <alignment horizontal="centerContinuous"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38" fontId="4" fillId="0" borderId="35" xfId="70" applyFont="1" applyBorder="1" applyAlignment="1">
      <alignment horizontal="center" vertical="center" wrapText="1"/>
    </xf>
    <xf numFmtId="38" fontId="4" fillId="0" borderId="36" xfId="70" applyFont="1" applyBorder="1" applyAlignment="1">
      <alignment horizontal="center" vertical="center" wrapText="1"/>
    </xf>
    <xf numFmtId="38" fontId="23" fillId="0" borderId="37" xfId="70" applyFont="1" applyBorder="1" applyAlignment="1">
      <alignment horizontal="center" vertical="center" wrapText="1"/>
    </xf>
    <xf numFmtId="38" fontId="4" fillId="0" borderId="35" xfId="70" applyFont="1" applyFill="1" applyBorder="1" applyAlignment="1">
      <alignment horizontal="center" vertical="center" wrapText="1"/>
    </xf>
    <xf numFmtId="38" fontId="4" fillId="0" borderId="36" xfId="70" applyFont="1" applyFill="1" applyBorder="1" applyAlignment="1">
      <alignment horizontal="center" vertical="center" wrapText="1"/>
    </xf>
    <xf numFmtId="38" fontId="4" fillId="0" borderId="37" xfId="70" applyFont="1" applyFill="1" applyBorder="1" applyAlignment="1">
      <alignment horizontal="center" vertical="center" wrapText="1"/>
    </xf>
    <xf numFmtId="38" fontId="4" fillId="0" borderId="16" xfId="7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1" xfId="0" applyFont="1" applyFill="1" applyBorder="1" applyAlignment="1">
      <alignment horizontal="center" vertical="center" wrapText="1"/>
    </xf>
    <xf numFmtId="38" fontId="4" fillId="0" borderId="40" xfId="70" applyFont="1" applyBorder="1" applyAlignment="1">
      <alignment horizontal="center" vertical="center" wrapText="1"/>
    </xf>
    <xf numFmtId="38" fontId="4" fillId="0" borderId="13" xfId="70" applyFont="1" applyBorder="1" applyAlignment="1">
      <alignment horizontal="center" vertical="center" wrapText="1"/>
    </xf>
    <xf numFmtId="38" fontId="4" fillId="0" borderId="41" xfId="70" applyFont="1" applyBorder="1" applyAlignment="1">
      <alignment horizontal="center" vertical="center" wrapText="1"/>
    </xf>
    <xf numFmtId="38" fontId="4" fillId="0" borderId="42" xfId="70" applyFont="1" applyBorder="1" applyAlignment="1">
      <alignment horizontal="center" vertical="center" wrapText="1"/>
    </xf>
    <xf numFmtId="38" fontId="4" fillId="0" borderId="15" xfId="70" applyFont="1" applyBorder="1" applyAlignment="1">
      <alignment horizontal="center" vertical="center" wrapText="1"/>
    </xf>
    <xf numFmtId="38" fontId="4" fillId="0" borderId="43" xfId="70" applyFont="1" applyBorder="1" applyAlignment="1">
      <alignment horizontal="center" vertical="center" wrapText="1"/>
    </xf>
    <xf numFmtId="38" fontId="4" fillId="0" borderId="20" xfId="70" applyFont="1" applyFill="1" applyBorder="1" applyAlignment="1">
      <alignment horizontal="center" vertical="center" wrapText="1"/>
    </xf>
    <xf numFmtId="38" fontId="4" fillId="0" borderId="15" xfId="70" applyFont="1" applyFill="1" applyBorder="1" applyAlignment="1">
      <alignment horizontal="center" vertical="center" wrapText="1"/>
    </xf>
    <xf numFmtId="38" fontId="4" fillId="34" borderId="44" xfId="70" applyFont="1" applyFill="1" applyBorder="1" applyAlignment="1">
      <alignment horizontal="center" vertical="center" wrapText="1"/>
    </xf>
    <xf numFmtId="38" fontId="4" fillId="34" borderId="32" xfId="70" applyFont="1" applyFill="1" applyBorder="1" applyAlignment="1">
      <alignment horizontal="center" vertical="center" wrapText="1"/>
    </xf>
    <xf numFmtId="38" fontId="4" fillId="34" borderId="45" xfId="70" applyFont="1" applyFill="1" applyBorder="1" applyAlignment="1">
      <alignment horizontal="center" vertical="center" wrapText="1"/>
    </xf>
    <xf numFmtId="38" fontId="4" fillId="35" borderId="16" xfId="70" applyFont="1" applyFill="1" applyBorder="1" applyAlignment="1">
      <alignment horizontal="center" vertical="center" wrapText="1"/>
    </xf>
    <xf numFmtId="176" fontId="4" fillId="35" borderId="14" xfId="59" applyNumberFormat="1" applyFont="1" applyFill="1" applyBorder="1" applyAlignment="1">
      <alignment horizontal="center" vertical="center" wrapText="1"/>
    </xf>
    <xf numFmtId="38" fontId="4" fillId="34" borderId="46" xfId="70" applyFont="1" applyFill="1" applyBorder="1" applyAlignment="1">
      <alignment horizontal="center" vertical="center" wrapText="1"/>
    </xf>
    <xf numFmtId="38" fontId="4" fillId="34" borderId="47" xfId="70" applyFont="1" applyFill="1" applyBorder="1" applyAlignment="1">
      <alignment horizontal="center" vertical="center" wrapText="1"/>
    </xf>
    <xf numFmtId="38" fontId="4" fillId="34" borderId="48" xfId="70" applyFont="1" applyFill="1" applyBorder="1" applyAlignment="1">
      <alignment horizontal="center" vertical="center" wrapText="1"/>
    </xf>
    <xf numFmtId="38" fontId="4" fillId="35" borderId="13" xfId="70" applyFont="1" applyFill="1" applyBorder="1" applyAlignment="1">
      <alignment horizontal="center" vertical="center" wrapText="1"/>
    </xf>
    <xf numFmtId="38" fontId="4" fillId="34" borderId="15" xfId="70" applyFont="1" applyFill="1" applyBorder="1" applyAlignment="1">
      <alignment horizontal="center" vertical="center" wrapText="1"/>
    </xf>
    <xf numFmtId="38" fontId="4" fillId="34" borderId="13" xfId="70" applyFont="1" applyFill="1" applyBorder="1" applyAlignment="1">
      <alignment horizontal="center" vertical="center" wrapText="1"/>
    </xf>
    <xf numFmtId="0" fontId="4" fillId="0" borderId="0" xfId="0" applyFont="1" applyAlignment="1">
      <alignment horizontal="right" vertical="center"/>
    </xf>
    <xf numFmtId="0" fontId="33" fillId="0" borderId="13" xfId="82" applyFont="1" applyBorder="1" applyAlignment="1">
      <alignment horizontal="center" vertical="center"/>
      <protection/>
    </xf>
    <xf numFmtId="0" fontId="25" fillId="0" borderId="21" xfId="82" applyFont="1" applyBorder="1" applyAlignment="1">
      <alignment vertical="center"/>
      <protection/>
    </xf>
    <xf numFmtId="0" fontId="25" fillId="0" borderId="22" xfId="82" applyFont="1" applyBorder="1" applyAlignment="1">
      <alignment vertical="center"/>
      <protection/>
    </xf>
    <xf numFmtId="0" fontId="25" fillId="0" borderId="23" xfId="82" applyFont="1" applyBorder="1" applyAlignment="1">
      <alignment vertical="center"/>
      <protection/>
    </xf>
    <xf numFmtId="0" fontId="25" fillId="0" borderId="19" xfId="82" applyFont="1" applyBorder="1" applyAlignment="1">
      <alignment vertical="center"/>
      <protection/>
    </xf>
    <xf numFmtId="0" fontId="25" fillId="0" borderId="27" xfId="82" applyFont="1" applyBorder="1" applyAlignment="1">
      <alignment vertical="center"/>
      <protection/>
    </xf>
    <xf numFmtId="0" fontId="25" fillId="0" borderId="20" xfId="82" applyFont="1" applyBorder="1" applyAlignment="1">
      <alignment vertical="center"/>
      <protection/>
    </xf>
    <xf numFmtId="0" fontId="25" fillId="0" borderId="49" xfId="82" applyFont="1" applyBorder="1" applyAlignment="1">
      <alignment vertical="center"/>
      <protection/>
    </xf>
    <xf numFmtId="0" fontId="25" fillId="0" borderId="50" xfId="82" applyFont="1" applyBorder="1" applyAlignment="1">
      <alignment vertical="center"/>
      <protection/>
    </xf>
    <xf numFmtId="0" fontId="25" fillId="0" borderId="51" xfId="82" applyFont="1" applyBorder="1" applyAlignment="1">
      <alignment vertical="center"/>
      <protection/>
    </xf>
    <xf numFmtId="49" fontId="25" fillId="0" borderId="22" xfId="82" applyNumberFormat="1" applyFont="1" applyBorder="1" applyAlignment="1">
      <alignment horizontal="center" vertical="center"/>
      <protection/>
    </xf>
    <xf numFmtId="0" fontId="25" fillId="0" borderId="52" xfId="82" applyFont="1" applyBorder="1" applyAlignment="1">
      <alignment vertical="center" wrapText="1"/>
      <protection/>
    </xf>
    <xf numFmtId="0" fontId="25" fillId="0" borderId="0" xfId="82" applyFont="1" applyBorder="1" applyAlignment="1">
      <alignment vertical="center"/>
      <protection/>
    </xf>
    <xf numFmtId="0" fontId="25" fillId="0" borderId="24" xfId="82" applyFont="1" applyBorder="1" applyAlignment="1">
      <alignment vertical="center"/>
      <protection/>
    </xf>
    <xf numFmtId="0" fontId="25" fillId="0" borderId="52" xfId="82" applyFont="1" applyBorder="1" applyAlignment="1">
      <alignment vertical="center"/>
      <protection/>
    </xf>
    <xf numFmtId="0" fontId="33" fillId="0" borderId="13" xfId="0" applyFont="1" applyBorder="1" applyAlignment="1">
      <alignment horizontal="center" vertical="center"/>
    </xf>
    <xf numFmtId="0" fontId="25" fillId="0" borderId="13" xfId="82" applyFont="1" applyBorder="1" applyAlignment="1">
      <alignment horizontal="center" vertical="center"/>
      <protection/>
    </xf>
    <xf numFmtId="0" fontId="25" fillId="0" borderId="14" xfId="82" applyFont="1" applyBorder="1" applyAlignment="1">
      <alignment horizontal="center" vertical="center"/>
      <protection/>
    </xf>
    <xf numFmtId="0" fontId="25" fillId="0" borderId="53" xfId="82" applyFont="1" applyBorder="1" applyAlignment="1">
      <alignment horizontal="center" vertical="center"/>
      <protection/>
    </xf>
    <xf numFmtId="0" fontId="25" fillId="0" borderId="0" xfId="82" applyFont="1" applyAlignment="1">
      <alignment horizontal="center" vertical="center"/>
      <protection/>
    </xf>
    <xf numFmtId="0" fontId="33" fillId="0" borderId="54" xfId="82" applyFont="1" applyBorder="1" applyAlignment="1">
      <alignment horizontal="center" vertical="center"/>
      <protection/>
    </xf>
    <xf numFmtId="0" fontId="33" fillId="0" borderId="55" xfId="82" applyFont="1" applyBorder="1" applyAlignment="1">
      <alignment vertical="center"/>
      <protection/>
    </xf>
    <xf numFmtId="0" fontId="33" fillId="0" borderId="56" xfId="82" applyFont="1" applyBorder="1" applyAlignment="1">
      <alignment vertical="center"/>
      <protection/>
    </xf>
    <xf numFmtId="0" fontId="33" fillId="0" borderId="57" xfId="82" applyFont="1" applyBorder="1" applyAlignment="1">
      <alignment vertical="center"/>
      <protection/>
    </xf>
    <xf numFmtId="0" fontId="34" fillId="0" borderId="13" xfId="82" applyFont="1" applyBorder="1" applyAlignment="1">
      <alignment horizontal="center" vertical="center"/>
      <protection/>
    </xf>
    <xf numFmtId="0" fontId="33" fillId="0" borderId="15" xfId="82" applyFont="1" applyBorder="1" applyAlignment="1">
      <alignment horizontal="center" vertical="center"/>
      <protection/>
    </xf>
    <xf numFmtId="0" fontId="36" fillId="0" borderId="0" xfId="0" applyFont="1" applyAlignment="1">
      <alignment horizontal="center" vertical="center"/>
    </xf>
    <xf numFmtId="0" fontId="25" fillId="0" borderId="58" xfId="82" applyFont="1" applyBorder="1" applyAlignment="1">
      <alignment horizontal="center" vertical="center"/>
      <protection/>
    </xf>
    <xf numFmtId="0" fontId="25" fillId="0" borderId="0" xfId="82" applyFont="1" applyBorder="1" applyAlignment="1">
      <alignment horizontal="center" vertical="center"/>
      <protection/>
    </xf>
    <xf numFmtId="0" fontId="25" fillId="0" borderId="59" xfId="82" applyFont="1" applyBorder="1" applyAlignment="1">
      <alignment horizontal="center" vertical="center"/>
      <protection/>
    </xf>
    <xf numFmtId="0" fontId="25" fillId="0" borderId="27" xfId="82" applyFont="1" applyBorder="1" applyAlignment="1">
      <alignment horizontal="center" vertical="center"/>
      <protection/>
    </xf>
    <xf numFmtId="0" fontId="25" fillId="0" borderId="60" xfId="82" applyFont="1" applyBorder="1" applyAlignment="1">
      <alignment horizontal="center" vertical="center"/>
      <protection/>
    </xf>
    <xf numFmtId="0" fontId="25" fillId="0" borderId="61" xfId="82" applyFont="1" applyBorder="1" applyAlignment="1">
      <alignment horizontal="center" vertical="center"/>
      <protection/>
    </xf>
    <xf numFmtId="0" fontId="25" fillId="0" borderId="62" xfId="82" applyFont="1" applyBorder="1" applyAlignment="1">
      <alignment horizontal="center" vertical="center"/>
      <protection/>
    </xf>
    <xf numFmtId="0" fontId="35" fillId="0" borderId="0" xfId="0" applyFont="1" applyAlignment="1">
      <alignment horizontal="center" vertical="center"/>
    </xf>
    <xf numFmtId="0" fontId="25" fillId="0" borderId="21"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0" fontId="25" fillId="0" borderId="19" xfId="0" applyFont="1" applyBorder="1" applyAlignment="1">
      <alignment vertical="center"/>
    </xf>
    <xf numFmtId="0" fontId="25" fillId="0" borderId="27" xfId="0" applyFont="1" applyBorder="1" applyAlignment="1">
      <alignment vertical="center"/>
    </xf>
    <xf numFmtId="0" fontId="25" fillId="0" borderId="20" xfId="0" applyFont="1" applyBorder="1" applyAlignment="1">
      <alignment vertical="center"/>
    </xf>
    <xf numFmtId="0" fontId="32" fillId="0" borderId="14" xfId="82" applyFont="1" applyBorder="1" applyAlignment="1">
      <alignment horizontal="center" vertical="center"/>
      <protection/>
    </xf>
    <xf numFmtId="0" fontId="32" fillId="0" borderId="2" xfId="82" applyFont="1" applyBorder="1" applyAlignment="1">
      <alignment horizontal="center" vertical="center"/>
      <protection/>
    </xf>
    <xf numFmtId="0" fontId="32" fillId="0" borderId="16" xfId="82" applyFont="1" applyBorder="1" applyAlignment="1">
      <alignment horizontal="center" vertical="center"/>
      <protection/>
    </xf>
    <xf numFmtId="0" fontId="32" fillId="0" borderId="13" xfId="82" applyFont="1" applyBorder="1" applyAlignment="1">
      <alignment horizontal="center" vertical="center"/>
      <protection/>
    </xf>
    <xf numFmtId="0" fontId="25" fillId="0" borderId="15" xfId="82" applyFont="1" applyBorder="1" applyAlignment="1">
      <alignment horizontal="center" vertical="center"/>
      <protection/>
    </xf>
    <xf numFmtId="0" fontId="25" fillId="0" borderId="19" xfId="82" applyFont="1" applyBorder="1" applyAlignment="1">
      <alignment horizontal="center" vertical="center"/>
      <protection/>
    </xf>
    <xf numFmtId="0" fontId="25" fillId="0" borderId="63" xfId="82" applyFont="1" applyBorder="1" applyAlignment="1">
      <alignment horizontal="center" vertical="center"/>
      <protection/>
    </xf>
    <xf numFmtId="0" fontId="25" fillId="0" borderId="20" xfId="82" applyFont="1" applyBorder="1" applyAlignment="1">
      <alignment horizontal="center" vertical="center"/>
      <protection/>
    </xf>
    <xf numFmtId="0" fontId="25" fillId="0" borderId="16" xfId="82" applyFont="1" applyBorder="1" applyAlignment="1">
      <alignment horizontal="center" vertical="center"/>
      <protection/>
    </xf>
    <xf numFmtId="0" fontId="25" fillId="0" borderId="24" xfId="82" applyFont="1" applyBorder="1" applyAlignment="1">
      <alignment horizontal="center" vertical="center"/>
      <protection/>
    </xf>
    <xf numFmtId="0" fontId="35" fillId="0" borderId="0" xfId="0" applyNumberFormat="1" applyFont="1" applyBorder="1" applyAlignment="1">
      <alignment horizontal="center" vertical="center"/>
    </xf>
    <xf numFmtId="0" fontId="33" fillId="0" borderId="13" xfId="82" applyFont="1" applyBorder="1" applyAlignment="1">
      <alignment vertical="center"/>
      <protection/>
    </xf>
    <xf numFmtId="179" fontId="25" fillId="0" borderId="21" xfId="71" applyNumberFormat="1" applyFont="1" applyBorder="1" applyAlignment="1">
      <alignment horizontal="center" vertical="center"/>
    </xf>
    <xf numFmtId="179" fontId="25" fillId="0" borderId="22" xfId="71" applyNumberFormat="1" applyFont="1" applyBorder="1" applyAlignment="1">
      <alignment horizontal="center" vertical="center"/>
    </xf>
    <xf numFmtId="179" fontId="25" fillId="0" borderId="19" xfId="71" applyNumberFormat="1" applyFont="1" applyBorder="1" applyAlignment="1">
      <alignment horizontal="center" vertical="center"/>
    </xf>
    <xf numFmtId="179" fontId="25" fillId="0" borderId="27" xfId="71" applyNumberFormat="1" applyFont="1" applyBorder="1" applyAlignment="1">
      <alignment horizontal="center" vertical="center"/>
    </xf>
    <xf numFmtId="38" fontId="33" fillId="0" borderId="2" xfId="71" applyFont="1" applyBorder="1" applyAlignment="1">
      <alignment horizontal="left" vertical="center"/>
    </xf>
    <xf numFmtId="38" fontId="25" fillId="0" borderId="21" xfId="71" applyFont="1" applyBorder="1" applyAlignment="1">
      <alignment horizontal="center" vertical="center"/>
    </xf>
    <xf numFmtId="38" fontId="25" fillId="0" borderId="22" xfId="71" applyFont="1" applyBorder="1" applyAlignment="1">
      <alignment horizontal="center" vertical="center"/>
    </xf>
    <xf numFmtId="38" fontId="25" fillId="0" borderId="19" xfId="71" applyFont="1" applyBorder="1" applyAlignment="1">
      <alignment horizontal="center" vertical="center"/>
    </xf>
    <xf numFmtId="38" fontId="25" fillId="0" borderId="27" xfId="71" applyFont="1" applyBorder="1" applyAlignment="1">
      <alignment horizontal="center" vertical="center"/>
    </xf>
    <xf numFmtId="0" fontId="33" fillId="0" borderId="22" xfId="82" applyFont="1" applyBorder="1" applyAlignment="1">
      <alignment horizontal="left" vertical="center"/>
      <protection/>
    </xf>
    <xf numFmtId="0" fontId="33" fillId="0" borderId="27" xfId="82" applyFont="1" applyBorder="1" applyAlignment="1">
      <alignment horizontal="left" vertical="center"/>
      <protection/>
    </xf>
    <xf numFmtId="0" fontId="33" fillId="0" borderId="0" xfId="82" applyFont="1" applyBorder="1" applyAlignment="1">
      <alignment horizontal="left" vertical="center"/>
      <protection/>
    </xf>
    <xf numFmtId="0" fontId="33" fillId="0" borderId="2" xfId="82" applyFont="1" applyBorder="1" applyAlignment="1">
      <alignment horizontal="left" vertical="center"/>
      <protection/>
    </xf>
    <xf numFmtId="0" fontId="33" fillId="0" borderId="13" xfId="82" applyFont="1" applyBorder="1" applyAlignment="1">
      <alignment vertical="center" wrapText="1"/>
      <protection/>
    </xf>
    <xf numFmtId="0" fontId="33" fillId="0" borderId="13" xfId="82" applyFont="1" applyBorder="1" applyAlignment="1">
      <alignment horizontal="center" vertical="center" wrapText="1"/>
      <protection/>
    </xf>
    <xf numFmtId="38" fontId="33" fillId="0" borderId="22" xfId="71" applyFont="1" applyBorder="1" applyAlignment="1">
      <alignment horizontal="left" vertical="center"/>
    </xf>
    <xf numFmtId="38" fontId="33" fillId="0" borderId="27" xfId="71" applyFont="1" applyBorder="1" applyAlignment="1">
      <alignment horizontal="left" vertical="center"/>
    </xf>
    <xf numFmtId="0" fontId="25" fillId="0" borderId="64" xfId="82" applyFont="1" applyBorder="1" applyAlignment="1">
      <alignment horizontal="center" vertical="center"/>
      <protection/>
    </xf>
    <xf numFmtId="0" fontId="0" fillId="0" borderId="13" xfId="0" applyBorder="1" applyAlignment="1">
      <alignment horizontal="center" vertical="center"/>
    </xf>
    <xf numFmtId="40" fontId="0" fillId="0" borderId="14" xfId="0" applyNumberFormat="1" applyBorder="1" applyAlignment="1">
      <alignment horizontal="right" vertical="center"/>
    </xf>
    <xf numFmtId="40" fontId="0" fillId="0" borderId="2" xfId="0" applyNumberFormat="1" applyBorder="1" applyAlignment="1">
      <alignment horizontal="right" vertical="center"/>
    </xf>
    <xf numFmtId="0" fontId="0" fillId="0" borderId="13" xfId="0" applyBorder="1" applyAlignment="1">
      <alignment horizontal="center" vertical="center" wrapText="1"/>
    </xf>
    <xf numFmtId="179" fontId="30" fillId="0" borderId="14" xfId="70" applyNumberFormat="1" applyFont="1" applyBorder="1" applyAlignment="1">
      <alignment horizontal="right" vertical="center"/>
    </xf>
    <xf numFmtId="179" fontId="30" fillId="0" borderId="2" xfId="70" applyNumberFormat="1" applyFont="1" applyBorder="1" applyAlignment="1">
      <alignment horizontal="right"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7" xfId="0" applyBorder="1" applyAlignment="1">
      <alignment horizontal="center" vertical="center"/>
    </xf>
    <xf numFmtId="38" fontId="0" fillId="0" borderId="14" xfId="0" applyNumberFormat="1" applyBorder="1" applyAlignment="1">
      <alignment horizontal="right" vertical="center"/>
    </xf>
    <xf numFmtId="38" fontId="0" fillId="0" borderId="2" xfId="0" applyNumberFormat="1" applyBorder="1" applyAlignment="1">
      <alignment horizontal="right" vertical="center"/>
    </xf>
    <xf numFmtId="40" fontId="30" fillId="0" borderId="14" xfId="70" applyNumberFormat="1" applyFont="1" applyBorder="1" applyAlignment="1">
      <alignment horizontal="right" vertical="center"/>
    </xf>
    <xf numFmtId="40" fontId="30" fillId="0" borderId="2" xfId="70" applyNumberFormat="1" applyFont="1" applyBorder="1" applyAlignment="1">
      <alignment horizontal="right"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38" fontId="4" fillId="0" borderId="13" xfId="68" applyFont="1" applyFill="1" applyBorder="1" applyAlignment="1">
      <alignment horizontal="center" vertical="center" wrapText="1"/>
    </xf>
    <xf numFmtId="0" fontId="18" fillId="0" borderId="17" xfId="0" applyFont="1" applyBorder="1" applyAlignment="1">
      <alignment horizontal="center" vertical="center"/>
    </xf>
    <xf numFmtId="0" fontId="18" fillId="0" borderId="15" xfId="0" applyFont="1" applyBorder="1" applyAlignment="1">
      <alignment horizontal="center" vertical="center"/>
    </xf>
    <xf numFmtId="176" fontId="25" fillId="0" borderId="55" xfId="82" applyNumberFormat="1" applyFont="1" applyBorder="1" applyAlignment="1">
      <alignment horizontal="center" vertical="center"/>
      <protection/>
    </xf>
    <xf numFmtId="176" fontId="25" fillId="0" borderId="56" xfId="0" applyNumberFormat="1" applyFont="1" applyBorder="1" applyAlignment="1">
      <alignment horizontal="center" vertical="center"/>
    </xf>
    <xf numFmtId="176" fontId="25" fillId="0" borderId="57" xfId="0" applyNumberFormat="1" applyFont="1" applyBorder="1" applyAlignment="1">
      <alignment horizontal="center" vertical="center"/>
    </xf>
    <xf numFmtId="0" fontId="32" fillId="0" borderId="14" xfId="0" applyFont="1" applyBorder="1" applyAlignment="1">
      <alignment horizontal="center" vertical="center"/>
    </xf>
    <xf numFmtId="0" fontId="32" fillId="0" borderId="2" xfId="0" applyFont="1" applyBorder="1" applyAlignment="1">
      <alignment horizontal="center" vertical="center"/>
    </xf>
    <xf numFmtId="0" fontId="32"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63" xfId="0" applyFont="1" applyBorder="1" applyAlignment="1">
      <alignment horizontal="center" vertical="center"/>
    </xf>
    <xf numFmtId="0" fontId="25" fillId="0" borderId="53" xfId="0" applyFont="1" applyBorder="1" applyAlignment="1">
      <alignment horizontal="center" vertical="center"/>
    </xf>
    <xf numFmtId="0" fontId="25" fillId="0" borderId="20" xfId="0" applyFont="1" applyBorder="1" applyAlignment="1">
      <alignment horizontal="center" vertical="center"/>
    </xf>
    <xf numFmtId="0" fontId="25" fillId="0" borderId="16" xfId="0" applyFont="1" applyBorder="1" applyAlignment="1">
      <alignment horizontal="center" vertical="center"/>
    </xf>
    <xf numFmtId="0" fontId="25" fillId="0" borderId="60" xfId="0" applyFont="1" applyBorder="1" applyAlignment="1">
      <alignment horizontal="center" vertical="center"/>
    </xf>
    <xf numFmtId="0" fontId="25" fillId="0" borderId="22" xfId="0" applyFont="1" applyBorder="1" applyAlignment="1">
      <alignment horizontal="center" vertical="center"/>
    </xf>
    <xf numFmtId="0" fontId="25" fillId="0" borderId="59" xfId="0" applyFont="1" applyBorder="1" applyAlignment="1">
      <alignment horizontal="center" vertical="center"/>
    </xf>
    <xf numFmtId="0" fontId="25" fillId="0" borderId="27" xfId="0" applyFont="1" applyBorder="1" applyAlignment="1">
      <alignment horizontal="center" vertical="center"/>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5" fillId="0" borderId="23" xfId="0" applyFont="1" applyBorder="1" applyAlignment="1">
      <alignment horizontal="center" vertical="center"/>
    </xf>
    <xf numFmtId="0" fontId="25" fillId="0" borderId="0" xfId="0" applyFont="1" applyAlignment="1">
      <alignment horizontal="right" vertical="center" wrapText="1"/>
    </xf>
    <xf numFmtId="0" fontId="25" fillId="0" borderId="0" xfId="0" applyFont="1" applyAlignment="1">
      <alignment vertical="center"/>
    </xf>
    <xf numFmtId="0" fontId="25" fillId="0" borderId="0" xfId="0" applyFont="1" applyAlignment="1">
      <alignment vertical="top" wrapText="1"/>
    </xf>
    <xf numFmtId="0" fontId="25" fillId="0" borderId="0" xfId="0" applyFont="1" applyAlignment="1">
      <alignment horizontal="right" wrapText="1"/>
    </xf>
    <xf numFmtId="0" fontId="25" fillId="0" borderId="0" xfId="0" applyFont="1" applyAlignment="1">
      <alignment vertical="center" wrapText="1"/>
    </xf>
    <xf numFmtId="0" fontId="35" fillId="0" borderId="0" xfId="0" applyFont="1" applyAlignment="1">
      <alignment horizontal="center" vertical="center" shrinkToFit="1"/>
    </xf>
    <xf numFmtId="0" fontId="25" fillId="38" borderId="13" xfId="0" applyFont="1" applyFill="1" applyBorder="1" applyAlignment="1">
      <alignment horizontal="center" vertical="center"/>
    </xf>
    <xf numFmtId="0" fontId="25" fillId="38" borderId="21" xfId="0" applyFont="1" applyFill="1" applyBorder="1" applyAlignment="1">
      <alignment horizontal="center" vertical="center"/>
    </xf>
    <xf numFmtId="0" fontId="25" fillId="38" borderId="22" xfId="0" applyFont="1" applyFill="1" applyBorder="1" applyAlignment="1">
      <alignment horizontal="center" vertical="center"/>
    </xf>
    <xf numFmtId="0" fontId="25" fillId="38" borderId="23" xfId="0" applyFont="1" applyFill="1" applyBorder="1" applyAlignment="1">
      <alignment horizontal="center" vertical="center"/>
    </xf>
    <xf numFmtId="0" fontId="25" fillId="38" borderId="19" xfId="0" applyFont="1" applyFill="1" applyBorder="1" applyAlignment="1">
      <alignment horizontal="center" vertical="center"/>
    </xf>
    <xf numFmtId="0" fontId="25" fillId="38" borderId="27" xfId="0" applyFont="1" applyFill="1" applyBorder="1" applyAlignment="1">
      <alignment horizontal="center" vertical="center"/>
    </xf>
    <xf numFmtId="0" fontId="25" fillId="38" borderId="20" xfId="0" applyFont="1" applyFill="1" applyBorder="1" applyAlignment="1">
      <alignment horizontal="center" vertical="center"/>
    </xf>
    <xf numFmtId="0" fontId="25" fillId="38" borderId="21" xfId="82" applyFont="1" applyFill="1" applyBorder="1" applyAlignment="1">
      <alignment horizontal="center" vertical="center"/>
      <protection/>
    </xf>
    <xf numFmtId="0" fontId="25" fillId="38" borderId="22" xfId="82" applyFont="1" applyFill="1" applyBorder="1" applyAlignment="1">
      <alignment horizontal="center" vertical="center"/>
      <protection/>
    </xf>
    <xf numFmtId="0" fontId="25" fillId="38" borderId="19" xfId="82" applyFont="1" applyFill="1" applyBorder="1" applyAlignment="1">
      <alignment horizontal="center" vertical="center"/>
      <protection/>
    </xf>
    <xf numFmtId="0" fontId="25" fillId="38" borderId="27" xfId="82" applyFont="1" applyFill="1" applyBorder="1" applyAlignment="1">
      <alignment horizontal="center" vertical="center"/>
      <protection/>
    </xf>
    <xf numFmtId="0" fontId="25" fillId="38" borderId="55" xfId="82" applyFont="1" applyFill="1" applyBorder="1" applyAlignment="1">
      <alignment horizontal="center" vertical="center" shrinkToFit="1"/>
      <protection/>
    </xf>
    <xf numFmtId="0" fontId="25" fillId="38" borderId="56" xfId="82" applyFont="1" applyFill="1" applyBorder="1" applyAlignment="1">
      <alignment horizontal="center" vertical="center" shrinkToFit="1"/>
      <protection/>
    </xf>
    <xf numFmtId="0" fontId="25" fillId="38" borderId="57" xfId="82" applyFont="1" applyFill="1" applyBorder="1" applyAlignment="1">
      <alignment horizontal="center" vertical="center" shrinkToFit="1"/>
      <protection/>
    </xf>
    <xf numFmtId="0" fontId="25" fillId="38" borderId="21" xfId="82" applyFont="1" applyFill="1" applyBorder="1" applyAlignment="1">
      <alignment horizontal="center" vertical="center" shrinkToFit="1"/>
      <protection/>
    </xf>
    <xf numFmtId="0" fontId="25" fillId="38" borderId="22" xfId="82" applyFont="1" applyFill="1" applyBorder="1" applyAlignment="1">
      <alignment horizontal="center" vertical="center" shrinkToFit="1"/>
      <protection/>
    </xf>
    <xf numFmtId="0" fontId="25" fillId="38" borderId="23" xfId="82" applyFont="1" applyFill="1" applyBorder="1" applyAlignment="1">
      <alignment horizontal="center" vertical="center" shrinkToFit="1"/>
      <protection/>
    </xf>
    <xf numFmtId="0" fontId="25" fillId="38" borderId="67" xfId="82" applyFont="1" applyFill="1" applyBorder="1" applyAlignment="1">
      <alignment horizontal="center" vertical="center" shrinkToFit="1"/>
      <protection/>
    </xf>
    <xf numFmtId="0" fontId="25" fillId="38" borderId="25" xfId="82" applyFont="1" applyFill="1" applyBorder="1" applyAlignment="1">
      <alignment horizontal="center" vertical="center" shrinkToFit="1"/>
      <protection/>
    </xf>
    <xf numFmtId="0" fontId="25" fillId="38" borderId="26" xfId="82" applyFont="1" applyFill="1" applyBorder="1" applyAlignment="1">
      <alignment horizontal="center" vertical="center" shrinkToFit="1"/>
      <protection/>
    </xf>
    <xf numFmtId="0" fontId="25" fillId="38" borderId="19" xfId="82" applyFont="1" applyFill="1" applyBorder="1" applyAlignment="1">
      <alignment horizontal="center" vertical="center" shrinkToFit="1"/>
      <protection/>
    </xf>
    <xf numFmtId="0" fontId="25" fillId="38" borderId="27" xfId="82" applyFont="1" applyFill="1" applyBorder="1" applyAlignment="1">
      <alignment horizontal="center" vertical="center" shrinkToFit="1"/>
      <protection/>
    </xf>
    <xf numFmtId="0" fontId="25" fillId="38" borderId="20" xfId="82" applyFont="1" applyFill="1" applyBorder="1" applyAlignment="1">
      <alignment horizontal="center" vertical="center" shrinkToFit="1"/>
      <protection/>
    </xf>
    <xf numFmtId="220" fontId="25" fillId="0" borderId="21" xfId="71" applyNumberFormat="1" applyFont="1" applyBorder="1" applyAlignment="1">
      <alignment horizontal="center" vertical="center"/>
    </xf>
    <xf numFmtId="220" fontId="25" fillId="0" borderId="22" xfId="82" applyNumberFormat="1" applyFont="1" applyBorder="1" applyAlignment="1">
      <alignment horizontal="center" vertical="center"/>
      <protection/>
    </xf>
    <xf numFmtId="220" fontId="25" fillId="0" borderId="19" xfId="82" applyNumberFormat="1" applyFont="1" applyBorder="1" applyAlignment="1">
      <alignment horizontal="center" vertical="center"/>
      <protection/>
    </xf>
    <xf numFmtId="220" fontId="25" fillId="0" borderId="27" xfId="82" applyNumberFormat="1" applyFont="1" applyBorder="1" applyAlignment="1">
      <alignment horizontal="center" vertical="center"/>
      <protection/>
    </xf>
    <xf numFmtId="192" fontId="25" fillId="0" borderId="55" xfId="82" applyNumberFormat="1" applyFont="1" applyBorder="1" applyAlignment="1">
      <alignment horizontal="center" vertical="center"/>
      <protection/>
    </xf>
    <xf numFmtId="192" fontId="25" fillId="0" borderId="56" xfId="82" applyNumberFormat="1" applyFont="1" applyBorder="1" applyAlignment="1">
      <alignment horizontal="center" vertical="center"/>
      <protection/>
    </xf>
    <xf numFmtId="192" fontId="25" fillId="0" borderId="57" xfId="82" applyNumberFormat="1" applyFont="1" applyBorder="1" applyAlignment="1">
      <alignment horizontal="center" vertical="center"/>
      <protection/>
    </xf>
    <xf numFmtId="176" fontId="25" fillId="0" borderId="25" xfId="82" applyNumberFormat="1" applyFont="1" applyBorder="1" applyAlignment="1">
      <alignment horizontal="center" vertical="center"/>
      <protection/>
    </xf>
    <xf numFmtId="176" fontId="25" fillId="0" borderId="25" xfId="60" applyNumberFormat="1" applyFont="1" applyBorder="1" applyAlignment="1">
      <alignment horizontal="center" vertical="center"/>
    </xf>
    <xf numFmtId="0" fontId="25" fillId="0" borderId="21" xfId="0" applyFont="1" applyBorder="1" applyAlignment="1">
      <alignment horizontal="center" vertical="center"/>
    </xf>
    <xf numFmtId="0" fontId="25" fillId="0" borderId="52" xfId="0" applyFont="1" applyBorder="1" applyAlignment="1">
      <alignment horizontal="center" vertical="center"/>
    </xf>
    <xf numFmtId="0" fontId="25" fillId="0" borderId="0" xfId="0" applyFont="1" applyBorder="1" applyAlignment="1">
      <alignment horizontal="center" vertical="center"/>
    </xf>
    <xf numFmtId="0" fontId="25" fillId="0" borderId="24" xfId="0" applyFont="1" applyBorder="1" applyAlignment="1">
      <alignment horizontal="center" vertical="center"/>
    </xf>
    <xf numFmtId="0" fontId="35" fillId="0" borderId="21" xfId="0" applyFont="1" applyBorder="1" applyAlignment="1">
      <alignment horizontal="left" vertical="top"/>
    </xf>
    <xf numFmtId="0" fontId="35" fillId="0" borderId="22" xfId="0" applyFont="1" applyBorder="1" applyAlignment="1">
      <alignment horizontal="left" vertical="top"/>
    </xf>
    <xf numFmtId="0" fontId="35" fillId="0" borderId="23" xfId="0" applyFont="1" applyBorder="1" applyAlignment="1">
      <alignment horizontal="left" vertical="top"/>
    </xf>
    <xf numFmtId="0" fontId="35" fillId="0" borderId="52" xfId="0" applyFont="1" applyBorder="1" applyAlignment="1">
      <alignment horizontal="left" vertical="top"/>
    </xf>
    <xf numFmtId="0" fontId="35" fillId="0" borderId="0" xfId="0" applyFont="1" applyBorder="1" applyAlignment="1">
      <alignment horizontal="left" vertical="top"/>
    </xf>
    <xf numFmtId="0" fontId="35" fillId="0" borderId="24" xfId="0" applyFont="1" applyBorder="1" applyAlignment="1">
      <alignment horizontal="left" vertical="top"/>
    </xf>
    <xf numFmtId="0" fontId="35" fillId="0" borderId="19" xfId="0" applyFont="1" applyBorder="1" applyAlignment="1">
      <alignment horizontal="left" vertical="top"/>
    </xf>
    <xf numFmtId="0" fontId="35" fillId="0" borderId="27" xfId="0" applyFont="1" applyBorder="1" applyAlignment="1">
      <alignment horizontal="left" vertical="top"/>
    </xf>
    <xf numFmtId="0" fontId="35"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52" xfId="0" applyFont="1" applyBorder="1" applyAlignment="1">
      <alignment horizontal="left" vertical="top"/>
    </xf>
    <xf numFmtId="0" fontId="0" fillId="0" borderId="0" xfId="0" applyFont="1" applyBorder="1" applyAlignment="1">
      <alignment horizontal="left" vertical="top"/>
    </xf>
    <xf numFmtId="0" fontId="0" fillId="0" borderId="24" xfId="0" applyFont="1" applyBorder="1" applyAlignment="1">
      <alignment horizontal="left" vertical="top"/>
    </xf>
    <xf numFmtId="0" fontId="0" fillId="0" borderId="19" xfId="0" applyFont="1" applyBorder="1" applyAlignment="1">
      <alignment horizontal="left" vertical="top"/>
    </xf>
    <xf numFmtId="0" fontId="0" fillId="0" borderId="27" xfId="0" applyFont="1" applyBorder="1" applyAlignment="1">
      <alignment horizontal="left" vertical="top"/>
    </xf>
    <xf numFmtId="0" fontId="0" fillId="0" borderId="20" xfId="0" applyFont="1" applyBorder="1" applyAlignment="1">
      <alignment horizontal="left" vertical="top"/>
    </xf>
    <xf numFmtId="0" fontId="25" fillId="0" borderId="21" xfId="0" applyFont="1" applyBorder="1" applyAlignment="1">
      <alignment horizontal="left" vertical="top"/>
    </xf>
    <xf numFmtId="0" fontId="25" fillId="0" borderId="22" xfId="0" applyFont="1" applyBorder="1" applyAlignment="1">
      <alignment horizontal="left" vertical="top"/>
    </xf>
    <xf numFmtId="0" fontId="25" fillId="0" borderId="23" xfId="0" applyFont="1" applyBorder="1" applyAlignment="1">
      <alignment horizontal="left" vertical="top"/>
    </xf>
    <xf numFmtId="0" fontId="25" fillId="0" borderId="52" xfId="0" applyFont="1" applyBorder="1" applyAlignment="1">
      <alignment horizontal="left" vertical="top"/>
    </xf>
    <xf numFmtId="0" fontId="25" fillId="0" borderId="0" xfId="0" applyFont="1" applyBorder="1" applyAlignment="1">
      <alignment horizontal="left" vertical="top"/>
    </xf>
    <xf numFmtId="0" fontId="25" fillId="0" borderId="24" xfId="0" applyFont="1" applyBorder="1" applyAlignment="1">
      <alignment horizontal="left" vertical="top"/>
    </xf>
    <xf numFmtId="0" fontId="25" fillId="0" borderId="19" xfId="0" applyFont="1" applyBorder="1" applyAlignment="1">
      <alignment horizontal="left" vertical="top"/>
    </xf>
    <xf numFmtId="0" fontId="25" fillId="0" borderId="27" xfId="0" applyFont="1" applyBorder="1" applyAlignment="1">
      <alignment horizontal="left" vertical="top"/>
    </xf>
    <xf numFmtId="0" fontId="25" fillId="0" borderId="20" xfId="0" applyFont="1" applyBorder="1" applyAlignment="1">
      <alignment horizontal="left" vertical="top"/>
    </xf>
    <xf numFmtId="176" fontId="25" fillId="0" borderId="56" xfId="82" applyNumberFormat="1" applyFont="1" applyBorder="1" applyAlignment="1">
      <alignment horizontal="center" vertical="center"/>
      <protection/>
    </xf>
    <xf numFmtId="176" fontId="25" fillId="0" borderId="57" xfId="82" applyNumberFormat="1" applyFont="1" applyBorder="1" applyAlignment="1">
      <alignment horizontal="center" vertical="center"/>
      <protection/>
    </xf>
    <xf numFmtId="38" fontId="27" fillId="6" borderId="13" xfId="70" applyFont="1" applyFill="1" applyBorder="1" applyAlignment="1">
      <alignment horizontal="center" vertical="center" wrapText="1"/>
    </xf>
    <xf numFmtId="38" fontId="27" fillId="39" borderId="13" xfId="70" applyFont="1" applyFill="1" applyBorder="1" applyAlignment="1">
      <alignment horizontal="center" vertical="center" wrapText="1"/>
    </xf>
    <xf numFmtId="38" fontId="4" fillId="0" borderId="22" xfId="70" applyFont="1" applyBorder="1" applyAlignment="1">
      <alignment horizontal="center" vertical="center" wrapText="1"/>
    </xf>
    <xf numFmtId="38" fontId="4" fillId="0" borderId="17" xfId="70" applyFont="1" applyFill="1" applyBorder="1" applyAlignment="1">
      <alignment horizontal="center" vertical="center" wrapText="1"/>
    </xf>
    <xf numFmtId="38" fontId="4" fillId="0" borderId="13" xfId="70" applyFont="1" applyFill="1" applyBorder="1" applyAlignment="1">
      <alignment horizontal="center" vertical="center" wrapText="1"/>
    </xf>
    <xf numFmtId="0" fontId="4" fillId="0" borderId="14" xfId="0" applyFont="1" applyBorder="1" applyAlignment="1">
      <alignment horizontal="center" vertical="center" wrapText="1"/>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ackground" xfId="33"/>
    <cellStyle name="Calc Currency (0)" xfId="34"/>
    <cellStyle name="entry" xfId="35"/>
    <cellStyle name="Header1" xfId="36"/>
    <cellStyle name="Header2" xfId="37"/>
    <cellStyle name="Milliers [0]_AR1194" xfId="38"/>
    <cellStyle name="Milliers_AR1194" xfId="39"/>
    <cellStyle name="Mon騁aire [0]_AR1194" xfId="40"/>
    <cellStyle name="Mon騁aire_AR1194" xfId="41"/>
    <cellStyle name="Normal - Style1" xfId="42"/>
    <cellStyle name="Normal_#18-Internet" xfId="43"/>
    <cellStyle name="price" xfId="44"/>
    <cellStyle name="revised" xfId="45"/>
    <cellStyle name="section" xfId="46"/>
    <cellStyle name="subhead" xfId="47"/>
    <cellStyle name="title" xfId="48"/>
    <cellStyle name="アクセント 1" xfId="49"/>
    <cellStyle name="アクセント 2" xfId="50"/>
    <cellStyle name="アクセント 3" xfId="51"/>
    <cellStyle name="アクセント 4" xfId="52"/>
    <cellStyle name="アクセント 5" xfId="53"/>
    <cellStyle name="アクセント 6" xfId="54"/>
    <cellStyle name="ｺﾞｼｯｸ12" xfId="55"/>
    <cellStyle name="タイトル" xfId="56"/>
    <cellStyle name="チェック セル" xfId="57"/>
    <cellStyle name="どちらでもない" xfId="58"/>
    <cellStyle name="Percent" xfId="59"/>
    <cellStyle name="パーセント 2" xfId="60"/>
    <cellStyle name="Hyperlink" xfId="61"/>
    <cellStyle name="メモ" xfId="62"/>
    <cellStyle name="リンク セル" xfId="63"/>
    <cellStyle name="悪い" xfId="64"/>
    <cellStyle name="下点線" xfId="65"/>
    <cellStyle name="計算" xfId="66"/>
    <cellStyle name="警告文" xfId="67"/>
    <cellStyle name="Comma [0]" xfId="68"/>
    <cellStyle name="Comma" xfId="69"/>
    <cellStyle name="桁区切り 2" xfId="70"/>
    <cellStyle name="桁区切り 2 2"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入力" xfId="81"/>
    <cellStyle name="標準 2" xfId="82"/>
    <cellStyle name="標準_2nedo様式7改" xfId="83"/>
    <cellStyle name="標準_Book1" xfId="84"/>
    <cellStyle name="標準10" xfId="85"/>
    <cellStyle name="標準11" xfId="86"/>
    <cellStyle name="標準12" xfId="87"/>
    <cellStyle name="Followed Hyperlink" xfId="88"/>
    <cellStyle name="未定義" xfId="89"/>
    <cellStyle name="良い"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133350</xdr:colOff>
      <xdr:row>5</xdr:row>
      <xdr:rowOff>0</xdr:rowOff>
    </xdr:to>
    <xdr:sp>
      <xdr:nvSpPr>
        <xdr:cNvPr id="1" name="Text Box 1"/>
        <xdr:cNvSpPr txBox="1">
          <a:spLocks noChangeArrowheads="1"/>
        </xdr:cNvSpPr>
      </xdr:nvSpPr>
      <xdr:spPr>
        <a:xfrm>
          <a:off x="53435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133350</xdr:colOff>
      <xdr:row>5</xdr:row>
      <xdr:rowOff>0</xdr:rowOff>
    </xdr:to>
    <xdr:sp>
      <xdr:nvSpPr>
        <xdr:cNvPr id="2" name="Text Box 2"/>
        <xdr:cNvSpPr txBox="1">
          <a:spLocks noChangeArrowheads="1"/>
        </xdr:cNvSpPr>
      </xdr:nvSpPr>
      <xdr:spPr>
        <a:xfrm>
          <a:off x="59531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133350</xdr:colOff>
      <xdr:row>5</xdr:row>
      <xdr:rowOff>0</xdr:rowOff>
    </xdr:to>
    <xdr:sp>
      <xdr:nvSpPr>
        <xdr:cNvPr id="3" name="Text Box 3"/>
        <xdr:cNvSpPr txBox="1">
          <a:spLocks noChangeArrowheads="1"/>
        </xdr:cNvSpPr>
      </xdr:nvSpPr>
      <xdr:spPr>
        <a:xfrm>
          <a:off x="65627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44</xdr:row>
      <xdr:rowOff>0</xdr:rowOff>
    </xdr:from>
    <xdr:to>
      <xdr:col>35</xdr:col>
      <xdr:colOff>123825</xdr:colOff>
      <xdr:row>44</xdr:row>
      <xdr:rowOff>0</xdr:rowOff>
    </xdr:to>
    <xdr:sp>
      <xdr:nvSpPr>
        <xdr:cNvPr id="4" name="Text Box 4"/>
        <xdr:cNvSpPr txBox="1">
          <a:spLocks noChangeArrowheads="1"/>
        </xdr:cNvSpPr>
      </xdr:nvSpPr>
      <xdr:spPr>
        <a:xfrm>
          <a:off x="5343525" y="8743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44</xdr:row>
      <xdr:rowOff>0</xdr:rowOff>
    </xdr:from>
    <xdr:to>
      <xdr:col>39</xdr:col>
      <xdr:colOff>133350</xdr:colOff>
      <xdr:row>44</xdr:row>
      <xdr:rowOff>0</xdr:rowOff>
    </xdr:to>
    <xdr:sp>
      <xdr:nvSpPr>
        <xdr:cNvPr id="5" name="Text Box 5"/>
        <xdr:cNvSpPr txBox="1">
          <a:spLocks noChangeArrowheads="1"/>
        </xdr:cNvSpPr>
      </xdr:nvSpPr>
      <xdr:spPr>
        <a:xfrm>
          <a:off x="5953125" y="87439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44</xdr:row>
      <xdr:rowOff>0</xdr:rowOff>
    </xdr:from>
    <xdr:to>
      <xdr:col>43</xdr:col>
      <xdr:colOff>123825</xdr:colOff>
      <xdr:row>44</xdr:row>
      <xdr:rowOff>0</xdr:rowOff>
    </xdr:to>
    <xdr:sp>
      <xdr:nvSpPr>
        <xdr:cNvPr id="6" name="Text Box 6"/>
        <xdr:cNvSpPr txBox="1">
          <a:spLocks noChangeArrowheads="1"/>
        </xdr:cNvSpPr>
      </xdr:nvSpPr>
      <xdr:spPr>
        <a:xfrm>
          <a:off x="6562725" y="8743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44</xdr:row>
      <xdr:rowOff>0</xdr:rowOff>
    </xdr:from>
    <xdr:to>
      <xdr:col>21</xdr:col>
      <xdr:colOff>123825</xdr:colOff>
      <xdr:row>44</xdr:row>
      <xdr:rowOff>0</xdr:rowOff>
    </xdr:to>
    <xdr:sp>
      <xdr:nvSpPr>
        <xdr:cNvPr id="7" name="Text Box 7"/>
        <xdr:cNvSpPr txBox="1">
          <a:spLocks noChangeArrowheads="1"/>
        </xdr:cNvSpPr>
      </xdr:nvSpPr>
      <xdr:spPr>
        <a:xfrm>
          <a:off x="3209925" y="8743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44</xdr:row>
      <xdr:rowOff>0</xdr:rowOff>
    </xdr:from>
    <xdr:to>
      <xdr:col>17</xdr:col>
      <xdr:colOff>123825</xdr:colOff>
      <xdr:row>44</xdr:row>
      <xdr:rowOff>0</xdr:rowOff>
    </xdr:to>
    <xdr:sp>
      <xdr:nvSpPr>
        <xdr:cNvPr id="8" name="Text Box 8"/>
        <xdr:cNvSpPr txBox="1">
          <a:spLocks noChangeArrowheads="1"/>
        </xdr:cNvSpPr>
      </xdr:nvSpPr>
      <xdr:spPr>
        <a:xfrm>
          <a:off x="2600325" y="87439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44</xdr:row>
      <xdr:rowOff>0</xdr:rowOff>
    </xdr:from>
    <xdr:to>
      <xdr:col>13</xdr:col>
      <xdr:colOff>133350</xdr:colOff>
      <xdr:row>44</xdr:row>
      <xdr:rowOff>0</xdr:rowOff>
    </xdr:to>
    <xdr:sp>
      <xdr:nvSpPr>
        <xdr:cNvPr id="9" name="Text Box 9"/>
        <xdr:cNvSpPr txBox="1">
          <a:spLocks noChangeArrowheads="1"/>
        </xdr:cNvSpPr>
      </xdr:nvSpPr>
      <xdr:spPr>
        <a:xfrm>
          <a:off x="1990725" y="87439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35</xdr:col>
      <xdr:colOff>9525</xdr:colOff>
      <xdr:row>4</xdr:row>
      <xdr:rowOff>28575</xdr:rowOff>
    </xdr:from>
    <xdr:to>
      <xdr:col>35</xdr:col>
      <xdr:colOff>133350</xdr:colOff>
      <xdr:row>4</xdr:row>
      <xdr:rowOff>123825</xdr:rowOff>
    </xdr:to>
    <xdr:sp>
      <xdr:nvSpPr>
        <xdr:cNvPr id="10" name="Text Box 11"/>
        <xdr:cNvSpPr txBox="1">
          <a:spLocks noChangeArrowheads="1"/>
        </xdr:cNvSpPr>
      </xdr:nvSpPr>
      <xdr:spPr>
        <a:xfrm>
          <a:off x="5343525" y="714375"/>
          <a:ext cx="123825" cy="952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xdr:row>
      <xdr:rowOff>9525</xdr:rowOff>
    </xdr:from>
    <xdr:to>
      <xdr:col>39</xdr:col>
      <xdr:colOff>133350</xdr:colOff>
      <xdr:row>4</xdr:row>
      <xdr:rowOff>114300</xdr:rowOff>
    </xdr:to>
    <xdr:sp>
      <xdr:nvSpPr>
        <xdr:cNvPr id="11" name="Text Box 12"/>
        <xdr:cNvSpPr txBox="1">
          <a:spLocks noChangeArrowheads="1"/>
        </xdr:cNvSpPr>
      </xdr:nvSpPr>
      <xdr:spPr>
        <a:xfrm>
          <a:off x="5953125" y="695325"/>
          <a:ext cx="123825"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xdr:row>
      <xdr:rowOff>9525</xdr:rowOff>
    </xdr:from>
    <xdr:to>
      <xdr:col>43</xdr:col>
      <xdr:colOff>133350</xdr:colOff>
      <xdr:row>4</xdr:row>
      <xdr:rowOff>114300</xdr:rowOff>
    </xdr:to>
    <xdr:sp>
      <xdr:nvSpPr>
        <xdr:cNvPr id="12" name="Text Box 13"/>
        <xdr:cNvSpPr txBox="1">
          <a:spLocks noChangeArrowheads="1"/>
        </xdr:cNvSpPr>
      </xdr:nvSpPr>
      <xdr:spPr>
        <a:xfrm>
          <a:off x="6562725" y="695325"/>
          <a:ext cx="123825"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133350</xdr:colOff>
      <xdr:row>5</xdr:row>
      <xdr:rowOff>0</xdr:rowOff>
    </xdr:to>
    <xdr:sp>
      <xdr:nvSpPr>
        <xdr:cNvPr id="1" name="Text Box 1"/>
        <xdr:cNvSpPr txBox="1">
          <a:spLocks noChangeArrowheads="1"/>
        </xdr:cNvSpPr>
      </xdr:nvSpPr>
      <xdr:spPr>
        <a:xfrm>
          <a:off x="53435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133350</xdr:colOff>
      <xdr:row>5</xdr:row>
      <xdr:rowOff>0</xdr:rowOff>
    </xdr:to>
    <xdr:sp>
      <xdr:nvSpPr>
        <xdr:cNvPr id="2" name="Text Box 2"/>
        <xdr:cNvSpPr txBox="1">
          <a:spLocks noChangeArrowheads="1"/>
        </xdr:cNvSpPr>
      </xdr:nvSpPr>
      <xdr:spPr>
        <a:xfrm>
          <a:off x="59531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133350</xdr:colOff>
      <xdr:row>5</xdr:row>
      <xdr:rowOff>0</xdr:rowOff>
    </xdr:to>
    <xdr:sp>
      <xdr:nvSpPr>
        <xdr:cNvPr id="3" name="Text Box 3"/>
        <xdr:cNvSpPr txBox="1">
          <a:spLocks noChangeArrowheads="1"/>
        </xdr:cNvSpPr>
      </xdr:nvSpPr>
      <xdr:spPr>
        <a:xfrm>
          <a:off x="6562725" y="8572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22</xdr:row>
      <xdr:rowOff>0</xdr:rowOff>
    </xdr:from>
    <xdr:to>
      <xdr:col>35</xdr:col>
      <xdr:colOff>123825</xdr:colOff>
      <xdr:row>22</xdr:row>
      <xdr:rowOff>0</xdr:rowOff>
    </xdr:to>
    <xdr:sp>
      <xdr:nvSpPr>
        <xdr:cNvPr id="4" name="Text Box 4"/>
        <xdr:cNvSpPr txBox="1">
          <a:spLocks noChangeArrowheads="1"/>
        </xdr:cNvSpPr>
      </xdr:nvSpPr>
      <xdr:spPr>
        <a:xfrm>
          <a:off x="53435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22</xdr:row>
      <xdr:rowOff>0</xdr:rowOff>
    </xdr:from>
    <xdr:to>
      <xdr:col>39</xdr:col>
      <xdr:colOff>133350</xdr:colOff>
      <xdr:row>22</xdr:row>
      <xdr:rowOff>0</xdr:rowOff>
    </xdr:to>
    <xdr:sp>
      <xdr:nvSpPr>
        <xdr:cNvPr id="5" name="Text Box 5"/>
        <xdr:cNvSpPr txBox="1">
          <a:spLocks noChangeArrowheads="1"/>
        </xdr:cNvSpPr>
      </xdr:nvSpPr>
      <xdr:spPr>
        <a:xfrm>
          <a:off x="5953125" y="411480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22</xdr:row>
      <xdr:rowOff>0</xdr:rowOff>
    </xdr:from>
    <xdr:to>
      <xdr:col>43</xdr:col>
      <xdr:colOff>123825</xdr:colOff>
      <xdr:row>22</xdr:row>
      <xdr:rowOff>0</xdr:rowOff>
    </xdr:to>
    <xdr:sp>
      <xdr:nvSpPr>
        <xdr:cNvPr id="6" name="Text Box 6"/>
        <xdr:cNvSpPr txBox="1">
          <a:spLocks noChangeArrowheads="1"/>
        </xdr:cNvSpPr>
      </xdr:nvSpPr>
      <xdr:spPr>
        <a:xfrm>
          <a:off x="65627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22</xdr:row>
      <xdr:rowOff>0</xdr:rowOff>
    </xdr:from>
    <xdr:to>
      <xdr:col>21</xdr:col>
      <xdr:colOff>123825</xdr:colOff>
      <xdr:row>22</xdr:row>
      <xdr:rowOff>0</xdr:rowOff>
    </xdr:to>
    <xdr:sp>
      <xdr:nvSpPr>
        <xdr:cNvPr id="7" name="Text Box 7"/>
        <xdr:cNvSpPr txBox="1">
          <a:spLocks noChangeArrowheads="1"/>
        </xdr:cNvSpPr>
      </xdr:nvSpPr>
      <xdr:spPr>
        <a:xfrm>
          <a:off x="32099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22</xdr:row>
      <xdr:rowOff>0</xdr:rowOff>
    </xdr:from>
    <xdr:to>
      <xdr:col>17</xdr:col>
      <xdr:colOff>123825</xdr:colOff>
      <xdr:row>22</xdr:row>
      <xdr:rowOff>0</xdr:rowOff>
    </xdr:to>
    <xdr:sp>
      <xdr:nvSpPr>
        <xdr:cNvPr id="8" name="Text Box 8"/>
        <xdr:cNvSpPr txBox="1">
          <a:spLocks noChangeArrowheads="1"/>
        </xdr:cNvSpPr>
      </xdr:nvSpPr>
      <xdr:spPr>
        <a:xfrm>
          <a:off x="2600325" y="41148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22</xdr:row>
      <xdr:rowOff>0</xdr:rowOff>
    </xdr:from>
    <xdr:to>
      <xdr:col>13</xdr:col>
      <xdr:colOff>133350</xdr:colOff>
      <xdr:row>22</xdr:row>
      <xdr:rowOff>0</xdr:rowOff>
    </xdr:to>
    <xdr:sp>
      <xdr:nvSpPr>
        <xdr:cNvPr id="9" name="Text Box 9"/>
        <xdr:cNvSpPr txBox="1">
          <a:spLocks noChangeArrowheads="1"/>
        </xdr:cNvSpPr>
      </xdr:nvSpPr>
      <xdr:spPr>
        <a:xfrm>
          <a:off x="1990725" y="411480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24</xdr:row>
      <xdr:rowOff>171450</xdr:rowOff>
    </xdr:from>
    <xdr:to>
      <xdr:col>9</xdr:col>
      <xdr:colOff>95250</xdr:colOff>
      <xdr:row>25</xdr:row>
      <xdr:rowOff>228600</xdr:rowOff>
    </xdr:to>
    <xdr:sp>
      <xdr:nvSpPr>
        <xdr:cNvPr id="1" name="強調線吹き出し 2 1"/>
        <xdr:cNvSpPr>
          <a:spLocks/>
        </xdr:cNvSpPr>
      </xdr:nvSpPr>
      <xdr:spPr>
        <a:xfrm>
          <a:off x="2857500" y="77152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24</xdr:row>
      <xdr:rowOff>171450</xdr:rowOff>
    </xdr:from>
    <xdr:to>
      <xdr:col>9</xdr:col>
      <xdr:colOff>95250</xdr:colOff>
      <xdr:row>25</xdr:row>
      <xdr:rowOff>228600</xdr:rowOff>
    </xdr:to>
    <xdr:sp>
      <xdr:nvSpPr>
        <xdr:cNvPr id="1" name="強調線吹き出し 2 1"/>
        <xdr:cNvSpPr>
          <a:spLocks/>
        </xdr:cNvSpPr>
      </xdr:nvSpPr>
      <xdr:spPr>
        <a:xfrm>
          <a:off x="2857500" y="77152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85725</xdr:colOff>
      <xdr:row>25</xdr:row>
      <xdr:rowOff>228600</xdr:rowOff>
    </xdr:to>
    <xdr:sp>
      <xdr:nvSpPr>
        <xdr:cNvPr id="1" name="強調線吹き出し 2 12"/>
        <xdr:cNvSpPr>
          <a:spLocks/>
        </xdr:cNvSpPr>
      </xdr:nvSpPr>
      <xdr:spPr>
        <a:xfrm>
          <a:off x="2847975" y="77152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twoCellAnchor>
    <xdr:from>
      <xdr:col>4</xdr:col>
      <xdr:colOff>85725</xdr:colOff>
      <xdr:row>0</xdr:row>
      <xdr:rowOff>76200</xdr:rowOff>
    </xdr:from>
    <xdr:to>
      <xdr:col>5</xdr:col>
      <xdr:colOff>752475</xdr:colOff>
      <xdr:row>2</xdr:row>
      <xdr:rowOff>266700</xdr:rowOff>
    </xdr:to>
    <xdr:sp>
      <xdr:nvSpPr>
        <xdr:cNvPr id="2" name="角丸四角形吹き出し 13"/>
        <xdr:cNvSpPr>
          <a:spLocks/>
        </xdr:cNvSpPr>
      </xdr:nvSpPr>
      <xdr:spPr>
        <a:xfrm>
          <a:off x="3324225" y="76200"/>
          <a:ext cx="1476375" cy="819150"/>
        </a:xfrm>
        <a:prstGeom prst="wedgeRoundRectCallout">
          <a:avLst>
            <a:gd name="adj1" fmla="val -61773"/>
            <a:gd name="adj2" fmla="val 93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入力ｼｰﾄ①</a:t>
          </a:r>
          <a:r>
            <a:rPr lang="en-US" cap="none" sz="800" b="0" i="0" u="none" baseline="0">
              <a:solidFill>
                <a:srgbClr val="FF0000"/>
              </a:solidFill>
            </a:rPr>
            <a:t>】</a:t>
          </a:r>
          <a:r>
            <a:rPr lang="en-US" cap="none" sz="800" b="0" i="0" u="none" baseline="0">
              <a:solidFill>
                <a:srgbClr val="FF0000"/>
              </a:solidFill>
            </a:rPr>
            <a:t>従来方式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a:t>
          </a:r>
          <a:r>
            <a:rPr lang="en-US" cap="none" sz="800" b="0" i="0" u="none" baseline="0">
              <a:solidFill>
                <a:srgbClr val="FF0000"/>
              </a:solidFill>
            </a:rPr>
            <a:t>
</a:t>
          </a:r>
          <a:r>
            <a:rPr lang="en-US" cap="none" sz="800" b="0" i="0" u="none" baseline="0">
              <a:solidFill>
                <a:srgbClr val="FF0000"/>
              </a:solidFill>
            </a:rPr>
            <a:t>すると、削減原単位が</a:t>
          </a:r>
          <a:r>
            <a:rPr lang="en-US" cap="none" sz="800" b="0" i="0" u="none" baseline="0">
              <a:solidFill>
                <a:srgbClr val="FF0000"/>
              </a:solidFill>
            </a:rPr>
            <a:t>
</a:t>
          </a:r>
          <a:r>
            <a:rPr lang="en-US" cap="none" sz="800" b="0" i="0" u="none" baseline="0">
              <a:solidFill>
                <a:srgbClr val="FF0000"/>
              </a:solidFill>
            </a:rPr>
            <a:t>自動的に入力されます</a:t>
          </a:r>
        </a:p>
      </xdr:txBody>
    </xdr:sp>
    <xdr:clientData/>
  </xdr:twoCellAnchor>
  <xdr:twoCellAnchor>
    <xdr:from>
      <xdr:col>6</xdr:col>
      <xdr:colOff>9525</xdr:colOff>
      <xdr:row>4</xdr:row>
      <xdr:rowOff>66675</xdr:rowOff>
    </xdr:from>
    <xdr:to>
      <xdr:col>8</xdr:col>
      <xdr:colOff>19050</xdr:colOff>
      <xdr:row>6</xdr:row>
      <xdr:rowOff>295275</xdr:rowOff>
    </xdr:to>
    <xdr:sp>
      <xdr:nvSpPr>
        <xdr:cNvPr id="3" name="角丸四角形吹き出し 14"/>
        <xdr:cNvSpPr>
          <a:spLocks/>
        </xdr:cNvSpPr>
      </xdr:nvSpPr>
      <xdr:spPr>
        <a:xfrm>
          <a:off x="4867275" y="1323975"/>
          <a:ext cx="1628775" cy="857250"/>
        </a:xfrm>
        <a:prstGeom prst="wedgeRoundRectCallout">
          <a:avLst>
            <a:gd name="adj1" fmla="val -23717"/>
            <a:gd name="adj2" fmla="val -8874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に数値を入力する</a:t>
          </a:r>
          <a:r>
            <a:rPr lang="en-US" cap="none" sz="800" b="0" i="0" u="none" baseline="0">
              <a:solidFill>
                <a:srgbClr val="FF0000"/>
              </a:solidFill>
            </a:rPr>
            <a:t>
</a:t>
          </a:r>
          <a:r>
            <a:rPr lang="en-US" cap="none" sz="800" b="0" i="0" u="none" baseline="0">
              <a:solidFill>
                <a:srgbClr val="FF0000"/>
              </a:solidFill>
            </a:rPr>
            <a:t>と発電出力が自動的に入力</a:t>
          </a:r>
          <a:r>
            <a:rPr lang="en-US" cap="none" sz="800" b="0" i="0" u="none" baseline="0">
              <a:solidFill>
                <a:srgbClr val="FF0000"/>
              </a:solidFill>
            </a:rPr>
            <a:t>
</a:t>
          </a:r>
          <a:r>
            <a:rPr lang="en-US" cap="none" sz="800" b="0" i="0" u="none" baseline="0">
              <a:solidFill>
                <a:srgbClr val="FF0000"/>
              </a:solidFill>
            </a:rPr>
            <a:t>されます</a:t>
          </a:r>
        </a:p>
      </xdr:txBody>
    </xdr:sp>
    <xdr:clientData/>
  </xdr:twoCellAnchor>
  <xdr:twoCellAnchor>
    <xdr:from>
      <xdr:col>1</xdr:col>
      <xdr:colOff>28575</xdr:colOff>
      <xdr:row>19</xdr:row>
      <xdr:rowOff>190500</xdr:rowOff>
    </xdr:from>
    <xdr:to>
      <xdr:col>3</xdr:col>
      <xdr:colOff>781050</xdr:colOff>
      <xdr:row>22</xdr:row>
      <xdr:rowOff>266700</xdr:rowOff>
    </xdr:to>
    <xdr:sp>
      <xdr:nvSpPr>
        <xdr:cNvPr id="4" name="角丸四角形吹き出し 15"/>
        <xdr:cNvSpPr>
          <a:spLocks/>
        </xdr:cNvSpPr>
      </xdr:nvSpPr>
      <xdr:spPr>
        <a:xfrm>
          <a:off x="838200" y="6162675"/>
          <a:ext cx="2371725" cy="1019175"/>
        </a:xfrm>
        <a:prstGeom prst="wedgeRoundRectCallout">
          <a:avLst>
            <a:gd name="adj1" fmla="val -32625"/>
            <a:gd name="adj2" fmla="val -289185"/>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通常のガスメーター</a:t>
          </a:r>
          <a:r>
            <a:rPr lang="en-US" cap="none" sz="800" b="0" i="0" u="none" baseline="0">
              <a:solidFill>
                <a:srgbClr val="FF0000"/>
              </a:solidFill>
            </a:rPr>
            <a:t>(Sm3)</a:t>
          </a:r>
          <a:r>
            <a:rPr lang="en-US" cap="none" sz="800" b="0" i="0" u="none" baseline="0">
              <a:solidFill>
                <a:srgbClr val="FF0000"/>
              </a:solidFill>
            </a:rPr>
            <a:t>の燃料使用量</a:t>
          </a:r>
          <a:r>
            <a:rPr lang="en-US" cap="none" sz="800" b="0" i="0" u="none" baseline="0">
              <a:solidFill>
                <a:srgbClr val="FF0000"/>
              </a:solidFill>
            </a:rPr>
            <a:t>
</a:t>
          </a:r>
          <a:r>
            <a:rPr lang="en-US" cap="none" sz="800" b="0" i="0" u="none" baseline="0">
              <a:solidFill>
                <a:srgbClr val="FF0000"/>
              </a:solidFill>
            </a:rPr>
            <a:t>は、０</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1</a:t>
          </a:r>
          <a:r>
            <a:rPr lang="en-US" cap="none" sz="800" b="0" i="0" u="none" baseline="0">
              <a:solidFill>
                <a:srgbClr val="FF0000"/>
              </a:solidFill>
            </a:rPr>
            <a:t>気圧の</a:t>
          </a:r>
          <a:r>
            <a:rPr lang="en-US" cap="none" sz="800" b="0" i="0" u="none" baseline="0">
              <a:solidFill>
                <a:srgbClr val="FF0000"/>
              </a:solidFill>
            </a:rPr>
            <a:t>Nm3</a:t>
          </a:r>
          <a:r>
            <a:rPr lang="en-US" cap="none" sz="800" b="0" i="0" u="none" baseline="0">
              <a:solidFill>
                <a:srgbClr val="FF0000"/>
              </a:solidFill>
            </a:rPr>
            <a:t>に換算して記入</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エリアの温度補正も可とする</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下記に温度補正の簡易換算式あり</a:t>
          </a:r>
        </a:p>
      </xdr:txBody>
    </xdr:sp>
    <xdr:clientData/>
  </xdr:twoCellAnchor>
  <xdr:twoCellAnchor>
    <xdr:from>
      <xdr:col>2</xdr:col>
      <xdr:colOff>171450</xdr:colOff>
      <xdr:row>16</xdr:row>
      <xdr:rowOff>152400</xdr:rowOff>
    </xdr:from>
    <xdr:to>
      <xdr:col>4</xdr:col>
      <xdr:colOff>0</xdr:colOff>
      <xdr:row>18</xdr:row>
      <xdr:rowOff>95250</xdr:rowOff>
    </xdr:to>
    <xdr:sp>
      <xdr:nvSpPr>
        <xdr:cNvPr id="5" name="角丸四角形吹き出し 16"/>
        <xdr:cNvSpPr>
          <a:spLocks/>
        </xdr:cNvSpPr>
      </xdr:nvSpPr>
      <xdr:spPr>
        <a:xfrm>
          <a:off x="1790700" y="5181600"/>
          <a:ext cx="1447800" cy="571500"/>
        </a:xfrm>
        <a:prstGeom prst="wedgeRoundRectCallout">
          <a:avLst>
            <a:gd name="adj1" fmla="val -27500"/>
            <a:gd name="adj2" fmla="val -306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計測した発電量を記入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twoCellAnchor>
    <xdr:from>
      <xdr:col>0</xdr:col>
      <xdr:colOff>28575</xdr:colOff>
      <xdr:row>4</xdr:row>
      <xdr:rowOff>66675</xdr:rowOff>
    </xdr:from>
    <xdr:to>
      <xdr:col>2</xdr:col>
      <xdr:colOff>66675</xdr:colOff>
      <xdr:row>7</xdr:row>
      <xdr:rowOff>285750</xdr:rowOff>
    </xdr:to>
    <xdr:sp>
      <xdr:nvSpPr>
        <xdr:cNvPr id="6" name="角丸四角形吹き出し 17"/>
        <xdr:cNvSpPr>
          <a:spLocks/>
        </xdr:cNvSpPr>
      </xdr:nvSpPr>
      <xdr:spPr>
        <a:xfrm>
          <a:off x="28575" y="1323975"/>
          <a:ext cx="1657350" cy="1162050"/>
        </a:xfrm>
        <a:prstGeom prst="wedgeRoundRectCallout">
          <a:avLst>
            <a:gd name="adj1" fmla="val 110263"/>
            <a:gd name="adj2" fmla="val 137189"/>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に入力した補機</a:t>
          </a:r>
          <a:r>
            <a:rPr lang="en-US" cap="none" sz="800" b="0" i="0" u="none" baseline="0">
              <a:solidFill>
                <a:srgbClr val="FF0000"/>
              </a:solidFill>
            </a:rPr>
            <a:t>
</a:t>
          </a:r>
          <a:r>
            <a:rPr lang="en-US" cap="none" sz="800" b="0" i="0" u="none" baseline="0">
              <a:solidFill>
                <a:srgbClr val="FF0000"/>
              </a:solidFill>
            </a:rPr>
            <a:t>動力の数値を元に算出を</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計算例</a:t>
          </a:r>
          <a:r>
            <a:rPr lang="en-US" cap="none" sz="800" b="0" i="0" u="none" baseline="0">
              <a:solidFill>
                <a:srgbClr val="FF0000"/>
              </a:solidFill>
            </a:rPr>
            <a:t>&gt;
</a:t>
          </a:r>
          <a:r>
            <a:rPr lang="en-US" cap="none" sz="800" b="0" i="0" u="none" baseline="0">
              <a:solidFill>
                <a:srgbClr val="FF0000"/>
              </a:solidFill>
            </a:rPr>
            <a:t>(</a:t>
          </a:r>
          <a:r>
            <a:rPr lang="en-US" cap="none" sz="800" b="0" i="0" u="none" baseline="0">
              <a:solidFill>
                <a:srgbClr val="FF0000"/>
              </a:solidFill>
            </a:rPr>
            <a:t>補機動力</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a:t>
          </a:r>
        </a:p>
      </xdr:txBody>
    </xdr:sp>
    <xdr:clientData/>
  </xdr:twoCellAnchor>
  <xdr:twoCellAnchor>
    <xdr:from>
      <xdr:col>7</xdr:col>
      <xdr:colOff>85725</xdr:colOff>
      <xdr:row>20</xdr:row>
      <xdr:rowOff>209550</xdr:rowOff>
    </xdr:from>
    <xdr:to>
      <xdr:col>9</xdr:col>
      <xdr:colOff>628650</xdr:colOff>
      <xdr:row>22</xdr:row>
      <xdr:rowOff>66675</xdr:rowOff>
    </xdr:to>
    <xdr:sp>
      <xdr:nvSpPr>
        <xdr:cNvPr id="7" name="角丸四角形吹き出し 18"/>
        <xdr:cNvSpPr>
          <a:spLocks/>
        </xdr:cNvSpPr>
      </xdr:nvSpPr>
      <xdr:spPr>
        <a:xfrm>
          <a:off x="5753100" y="6496050"/>
          <a:ext cx="2162175" cy="485775"/>
        </a:xfrm>
        <a:prstGeom prst="wedgeRoundRectCallout">
          <a:avLst>
            <a:gd name="adj1" fmla="val -34689"/>
            <a:gd name="adj2" fmla="val -62137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計測した運転時間を記入して下さい</a:t>
          </a:r>
        </a:p>
      </xdr:txBody>
    </xdr:sp>
    <xdr:clientData/>
  </xdr:twoCellAnchor>
  <xdr:twoCellAnchor>
    <xdr:from>
      <xdr:col>8</xdr:col>
      <xdr:colOff>352425</xdr:colOff>
      <xdr:row>17</xdr:row>
      <xdr:rowOff>228600</xdr:rowOff>
    </xdr:from>
    <xdr:to>
      <xdr:col>12</xdr:col>
      <xdr:colOff>76200</xdr:colOff>
      <xdr:row>20</xdr:row>
      <xdr:rowOff>142875</xdr:rowOff>
    </xdr:to>
    <xdr:sp>
      <xdr:nvSpPr>
        <xdr:cNvPr id="8" name="角丸四角形吹き出し 19"/>
        <xdr:cNvSpPr>
          <a:spLocks/>
        </xdr:cNvSpPr>
      </xdr:nvSpPr>
      <xdr:spPr>
        <a:xfrm>
          <a:off x="6829425" y="5572125"/>
          <a:ext cx="2962275" cy="857250"/>
        </a:xfrm>
        <a:prstGeom prst="wedgeRoundRectCallout">
          <a:avLst>
            <a:gd name="adj1" fmla="val -20847"/>
            <a:gd name="adj2" fmla="val -267074"/>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蒸気発生量、温水発生量、他発生量を計測している</a:t>
          </a:r>
          <a:r>
            <a:rPr lang="en-US" cap="none" sz="800" b="0" i="0" u="none" baseline="0">
              <a:solidFill>
                <a:srgbClr val="FF0000"/>
              </a:solidFill>
            </a:rPr>
            <a:t>
</a:t>
          </a:r>
          <a:r>
            <a:rPr lang="en-US" cap="none" sz="800" b="0" i="0" u="none" baseline="0">
              <a:solidFill>
                <a:srgbClr val="FF0000"/>
              </a:solidFill>
            </a:rPr>
            <a:t>場合は、その数値を記入して下さい。計測していない</a:t>
          </a:r>
          <a:r>
            <a:rPr lang="en-US" cap="none" sz="800" b="0" i="0" u="none" baseline="0">
              <a:solidFill>
                <a:srgbClr val="FF0000"/>
              </a:solidFill>
            </a:rPr>
            <a:t>
</a:t>
          </a:r>
          <a:r>
            <a:rPr lang="en-US" cap="none" sz="800" b="0" i="0" u="none" baseline="0">
              <a:solidFill>
                <a:srgbClr val="FF0000"/>
              </a:solidFill>
            </a:rPr>
            <a:t>場合は、仕様値</a:t>
          </a:r>
          <a:r>
            <a:rPr lang="en-US" cap="none" sz="800" b="0" i="0" u="none" baseline="0">
              <a:solidFill>
                <a:srgbClr val="FF0000"/>
              </a:solidFill>
            </a:rPr>
            <a:t>(</a:t>
          </a:r>
          <a:r>
            <a:rPr lang="en-US" cap="none" sz="800" b="0" i="0" u="none" baseline="0">
              <a:solidFill>
                <a:srgbClr val="FF0000"/>
              </a:solidFill>
            </a:rPr>
            <a:t>発生熱量</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運転時間より算出</a:t>
          </a:r>
          <a:r>
            <a:rPr lang="en-US" cap="none" sz="800" b="0" i="0" u="none" baseline="0">
              <a:solidFill>
                <a:srgbClr val="FF0000"/>
              </a:solidFill>
            </a:rPr>
            <a:t>
</a:t>
          </a:r>
          <a:r>
            <a:rPr lang="en-US" cap="none" sz="800" b="0" i="0" u="none" baseline="0">
              <a:solidFill>
                <a:srgbClr val="FF0000"/>
              </a:solidFill>
            </a:rPr>
            <a:t>し、記入して下さい</a:t>
          </a:r>
        </a:p>
      </xdr:txBody>
    </xdr:sp>
    <xdr:clientData/>
  </xdr:twoCellAnchor>
  <xdr:twoCellAnchor>
    <xdr:from>
      <xdr:col>10</xdr:col>
      <xdr:colOff>533400</xdr:colOff>
      <xdr:row>13</xdr:row>
      <xdr:rowOff>190500</xdr:rowOff>
    </xdr:from>
    <xdr:to>
      <xdr:col>14</xdr:col>
      <xdr:colOff>762000</xdr:colOff>
      <xdr:row>17</xdr:row>
      <xdr:rowOff>95250</xdr:rowOff>
    </xdr:to>
    <xdr:sp>
      <xdr:nvSpPr>
        <xdr:cNvPr id="9" name="角丸四角形吹き出し 20"/>
        <xdr:cNvSpPr>
          <a:spLocks/>
        </xdr:cNvSpPr>
      </xdr:nvSpPr>
      <xdr:spPr>
        <a:xfrm>
          <a:off x="8629650" y="4276725"/>
          <a:ext cx="3467100" cy="1162050"/>
        </a:xfrm>
        <a:prstGeom prst="wedgeRoundRectCallout">
          <a:avLst>
            <a:gd name="adj1" fmla="val 9337"/>
            <a:gd name="adj2" fmla="val -100412"/>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蒸気発生量、温水発生量、他発生量は、計測しているデータ</a:t>
          </a:r>
          <a:r>
            <a:rPr lang="en-US" cap="none" sz="800" b="0" i="0" u="none" baseline="0">
              <a:solidFill>
                <a:srgbClr val="FF0000"/>
              </a:solidFill>
            </a:rPr>
            <a:t>
</a:t>
          </a:r>
          <a:r>
            <a:rPr lang="en-US" cap="none" sz="800" b="0" i="0" u="none" baseline="0">
              <a:solidFill>
                <a:srgbClr val="FF0000"/>
              </a:solidFill>
            </a:rPr>
            <a:t>を記入して下さい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注意</a:t>
          </a:r>
          <a:r>
            <a:rPr lang="en-US" cap="none" sz="800" b="0" i="0" u="none" baseline="0">
              <a:solidFill>
                <a:srgbClr val="FF0000"/>
              </a:solidFill>
            </a:rPr>
            <a:t>&gt;</a:t>
          </a:r>
          <a:r>
            <a:rPr lang="en-US" cap="none" sz="800" b="0" i="0" u="none" baseline="0">
              <a:solidFill>
                <a:srgbClr val="FF0000"/>
              </a:solidFill>
            </a:rPr>
            <a:t>
</a:t>
          </a:r>
          <a:r>
            <a:rPr lang="en-US" cap="none" sz="800" b="0" i="0" u="none" baseline="0">
              <a:solidFill>
                <a:srgbClr val="FF0000"/>
              </a:solidFill>
            </a:rPr>
            <a:t>冷水利用量には、必ず</a:t>
          </a:r>
          <a:r>
            <a:rPr lang="en-US" cap="none" sz="800" b="0" i="0" u="none" baseline="0">
              <a:solidFill>
                <a:srgbClr val="FF0000"/>
              </a:solidFill>
            </a:rPr>
            <a:t>COP</a:t>
          </a:r>
          <a:r>
            <a:rPr lang="en-US" cap="none" sz="800" b="0" i="0" u="none" baseline="0">
              <a:solidFill>
                <a:srgbClr val="FF0000"/>
              </a:solidFill>
            </a:rPr>
            <a:t>を掛けて算出して下さい</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に入力した廃熱利用設備</a:t>
          </a:r>
          <a:r>
            <a:rPr lang="en-US" cap="none" sz="800" b="0" i="0" u="none" baseline="0">
              <a:solidFill>
                <a:srgbClr val="FF0000"/>
              </a:solidFill>
            </a:rPr>
            <a:t>
</a:t>
          </a:r>
          <a:r>
            <a:rPr lang="en-US" cap="none" sz="800" b="0" i="0" u="none" baseline="0">
              <a:solidFill>
                <a:srgbClr val="FF0000"/>
              </a:solidFill>
            </a:rPr>
            <a:t>の</a:t>
          </a:r>
          <a:r>
            <a:rPr lang="en-US" cap="none" sz="800" b="0" i="0" u="none" baseline="0">
              <a:solidFill>
                <a:srgbClr val="FF0000"/>
              </a:solidFill>
            </a:rPr>
            <a:t>COP</a:t>
          </a:r>
          <a:r>
            <a:rPr lang="en-US" cap="none" sz="800" b="0" i="0" u="none" baseline="0">
              <a:solidFill>
                <a:srgbClr val="FF0000"/>
              </a:solidFill>
            </a:rPr>
            <a:t>等を元に算出をして下さい</a:t>
          </a:r>
        </a:p>
      </xdr:txBody>
    </xdr:sp>
    <xdr:clientData/>
  </xdr:twoCellAnchor>
  <xdr:twoCellAnchor>
    <xdr:from>
      <xdr:col>2</xdr:col>
      <xdr:colOff>733425</xdr:colOff>
      <xdr:row>13</xdr:row>
      <xdr:rowOff>57150</xdr:rowOff>
    </xdr:from>
    <xdr:to>
      <xdr:col>4</xdr:col>
      <xdr:colOff>190500</xdr:colOff>
      <xdr:row>15</xdr:row>
      <xdr:rowOff>95250</xdr:rowOff>
    </xdr:to>
    <xdr:sp>
      <xdr:nvSpPr>
        <xdr:cNvPr id="10" name="角丸四角形吹き出し 21"/>
        <xdr:cNvSpPr>
          <a:spLocks/>
        </xdr:cNvSpPr>
      </xdr:nvSpPr>
      <xdr:spPr>
        <a:xfrm>
          <a:off x="2352675" y="4143375"/>
          <a:ext cx="1076325" cy="666750"/>
        </a:xfrm>
        <a:prstGeom prst="wedgeRoundRectCallout">
          <a:avLst>
            <a:gd name="adj1" fmla="val -231689"/>
            <a:gd name="adj2" fmla="val -252458"/>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計測した年度を記入して下さい</a:t>
          </a:r>
        </a:p>
      </xdr:txBody>
    </xdr:sp>
    <xdr:clientData/>
  </xdr:twoCellAnchor>
  <xdr:twoCellAnchor>
    <xdr:from>
      <xdr:col>16</xdr:col>
      <xdr:colOff>733425</xdr:colOff>
      <xdr:row>5</xdr:row>
      <xdr:rowOff>47625</xdr:rowOff>
    </xdr:from>
    <xdr:to>
      <xdr:col>18</xdr:col>
      <xdr:colOff>514350</xdr:colOff>
      <xdr:row>7</xdr:row>
      <xdr:rowOff>104775</xdr:rowOff>
    </xdr:to>
    <xdr:sp>
      <xdr:nvSpPr>
        <xdr:cNvPr id="11" name="角丸四角形吹き出し 22"/>
        <xdr:cNvSpPr>
          <a:spLocks/>
        </xdr:cNvSpPr>
      </xdr:nvSpPr>
      <xdr:spPr>
        <a:xfrm>
          <a:off x="13687425" y="1619250"/>
          <a:ext cx="1400175" cy="685800"/>
        </a:xfrm>
        <a:prstGeom prst="wedgeRoundRectCallout">
          <a:avLst>
            <a:gd name="adj1" fmla="val -15805"/>
            <a:gd name="adj2" fmla="val -104046"/>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必ず申請した数値を記入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WINNT\Profiles\9001918\Personal\&#39640;&#223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26085;&#28165;&#39135;&#21697;&#38651;&#21147;&#20351;&#29992;&#373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F797320\!&#25126;&#30053;&#65409;&#65392;&#65425;\a&#26494;&#19978;\a&#29289;&#20214;\&#29702;&#30740;&#65419;&#65438;&#65408;&#65424;&#65437;\320\&#25552;&#26696;030313-2\MOA&#65404;&#65438;&#65386;&#65416;&#65432;&#65437;&#654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NS50S0002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WINNT\Profiles\9700865\Personal\&#21271;&#28006;&#12373;&#12435;\&#26085;&#2816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F797320\&#26494;&#19978;\&#39640;&#2231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WINNT\Profiles\9102682\Personal\&#39640;&#27211;\&#24120;&#32207;&#25903;&#25588;\&#26085;&#28165;&#39135;&#21697;\&#26085;&#28165;Centaur40S0001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12304;&#65400;&#65438;&#65433;&#65392;&#65420;&#65439;&#65381;&#12481;&#12540;&#12512;&#12305;\&#65284;&#25903;&#25588;&#65332;\a&#26494;&#19978;\WINNT\Profiles\9001918\Personal\&#39640;&#2231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yoshimichi\Desktop\&#29872;&#22659;&#25913;&#21892;&#21177;&#26524;&#25552;&#20986;&#26360;&#39006;&#65288;4&#26376;&#65299;&#2608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電力デマンド (補正)"/>
      <sheetName val="電力デマンド"/>
      <sheetName val="季時別"/>
      <sheetName val="saturn DSS"/>
      <sheetName val="CENTAUR50S"/>
      <sheetName val="IM270"/>
      <sheetName val="CENTAUR50S (2)"/>
      <sheetName val="saturn 2"/>
    </sheetNames>
    <sheetDataSet>
      <sheetData sheetId="3">
        <row r="3">
          <cell r="F3">
            <v>1100</v>
          </cell>
        </row>
        <row r="4">
          <cell r="F4">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システム"/>
      <sheetName val="現状ｸﾞﾗﾌ"/>
      <sheetName val="電気ｸﾞﾗﾌ"/>
      <sheetName val="排熱ｸﾞﾗﾌ"/>
      <sheetName val="経済性CGS"/>
      <sheetName val="省ｴﾈ100"/>
      <sheetName val="計算根拠"/>
      <sheetName val="ｽｹｼﾞｭｰﾙ"/>
      <sheetName val="運転ﾊﾟﾀｰﾝCGS"/>
      <sheetName val="空調想定"/>
      <sheetName val="Spec"/>
      <sheetName val="ｼﾞｪﾈﾘﾝｸspec"/>
      <sheetName val="電気年間"/>
      <sheetName val="電気・蒸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 val="提示"/>
      <sheetName val="年間量整理"/>
      <sheetName val="グラフ"/>
    </sheetNames>
    <sheetDataSet>
      <sheetData sheetId="9">
        <row r="3">
          <cell r="C3">
            <v>0.9257214950323293</v>
          </cell>
          <cell r="Q3">
            <v>0.985105977143041</v>
          </cell>
          <cell r="AD3">
            <v>0.962649945474373</v>
          </cell>
          <cell r="AQ3">
            <v>1.0840580835533469</v>
          </cell>
        </row>
        <row r="15">
          <cell r="C15">
            <v>250</v>
          </cell>
        </row>
      </sheetData>
      <sheetData sheetId="10">
        <row r="60">
          <cell r="L60">
            <v>-0.27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
      <sheetName val="メリット計算表1"/>
      <sheetName val="メリット計算表2"/>
    </sheetNames>
    <sheetDataSet>
      <sheetData sheetId="0">
        <row r="8">
          <cell r="C8">
            <v>3825</v>
          </cell>
        </row>
        <row r="10">
          <cell r="C10">
            <v>1287</v>
          </cell>
        </row>
        <row r="11">
          <cell r="C11">
            <v>10500</v>
          </cell>
        </row>
        <row r="36">
          <cell r="C36">
            <v>3444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s>
    <sheetDataSet>
      <sheetData sheetId="9">
        <row r="16">
          <cell r="C16">
            <v>170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様式１２"/>
      <sheetName val="別紙６"/>
      <sheetName val="効果検証達成計画書"/>
      <sheetName val="【結果ｼｰﾄ①】"/>
      <sheetName val="実証データ"/>
      <sheetName val="入力方法→ "/>
      <sheetName val="【入力ｼｰﾄ①】従来方式(導入前)"/>
      <sheetName val="【入力ｼｰﾄ②】ｺｰｼﾞｪﾈ方式(導入前)"/>
      <sheetName val="Sheet1"/>
    </sheetNames>
    <sheetDataSet>
      <sheetData sheetId="6">
        <row r="11">
          <cell r="B11">
            <v>1.2222222222222223</v>
          </cell>
        </row>
        <row r="22">
          <cell r="B22">
            <v>1.2941176470588236</v>
          </cell>
        </row>
        <row r="28">
          <cell r="B28">
            <v>0.8148148148148149</v>
          </cell>
        </row>
        <row r="31">
          <cell r="B31">
            <v>1.2222222222222223</v>
          </cell>
        </row>
      </sheetData>
      <sheetData sheetId="7">
        <row r="4">
          <cell r="B4">
            <v>500</v>
          </cell>
        </row>
        <row r="6">
          <cell r="F6">
            <v>40.6</v>
          </cell>
        </row>
        <row r="7">
          <cell r="F7">
            <v>45</v>
          </cell>
        </row>
        <row r="16">
          <cell r="B1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AR47"/>
  <sheetViews>
    <sheetView tabSelected="1" zoomScalePageLayoutView="0" workbookViewId="0" topLeftCell="A1">
      <selection activeCell="AU9" sqref="AU9"/>
    </sheetView>
  </sheetViews>
  <sheetFormatPr defaultColWidth="9.00390625" defaultRowHeight="13.5"/>
  <cols>
    <col min="1" max="44" width="2.00390625" style="114" customWidth="1"/>
    <col min="45" max="16384" width="9.00390625" style="114" customWidth="1"/>
  </cols>
  <sheetData>
    <row r="1" ht="13.5">
      <c r="A1" s="114" t="s">
        <v>202</v>
      </c>
    </row>
    <row r="3" spans="1:44" ht="13.5">
      <c r="A3" s="254" t="s">
        <v>203</v>
      </c>
      <c r="B3" s="255"/>
      <c r="C3" s="255"/>
      <c r="D3" s="255"/>
      <c r="E3" s="255"/>
      <c r="F3" s="255"/>
      <c r="G3" s="255"/>
      <c r="H3" s="255"/>
      <c r="I3" s="255"/>
      <c r="J3" s="255"/>
      <c r="K3" s="255"/>
      <c r="L3" s="255"/>
      <c r="M3" s="255"/>
      <c r="N3" s="255"/>
      <c r="O3" s="255"/>
      <c r="P3" s="255"/>
      <c r="Q3" s="255"/>
      <c r="R3" s="256"/>
      <c r="AC3" s="213" t="s">
        <v>204</v>
      </c>
      <c r="AD3" s="257"/>
      <c r="AE3" s="257"/>
      <c r="AF3" s="257"/>
      <c r="AG3" s="257"/>
      <c r="AH3" s="257"/>
      <c r="AI3" s="257"/>
      <c r="AJ3" s="257"/>
      <c r="AK3" s="257"/>
      <c r="AL3" s="257"/>
      <c r="AM3" s="257"/>
      <c r="AN3" s="257"/>
      <c r="AO3" s="257"/>
      <c r="AP3" s="257"/>
      <c r="AQ3" s="257"/>
      <c r="AR3" s="257"/>
    </row>
    <row r="4" spans="1:44" ht="13.5">
      <c r="A4" s="258"/>
      <c r="B4" s="259"/>
      <c r="C4" s="260"/>
      <c r="D4" s="260"/>
      <c r="E4" s="260"/>
      <c r="F4" s="260"/>
      <c r="G4" s="260"/>
      <c r="H4" s="260"/>
      <c r="I4" s="260"/>
      <c r="J4" s="260"/>
      <c r="K4" s="261"/>
      <c r="L4" s="259"/>
      <c r="M4" s="240"/>
      <c r="N4" s="241"/>
      <c r="O4" s="244"/>
      <c r="P4" s="245"/>
      <c r="Q4" s="241"/>
      <c r="R4" s="263"/>
      <c r="AC4" s="229" t="s">
        <v>205</v>
      </c>
      <c r="AD4" s="229"/>
      <c r="AE4" s="229"/>
      <c r="AF4" s="229"/>
      <c r="AG4" s="229"/>
      <c r="AH4" s="229"/>
      <c r="AI4" s="229"/>
      <c r="AJ4" s="230"/>
      <c r="AK4" s="231"/>
      <c r="AL4" s="231"/>
      <c r="AM4" s="231"/>
      <c r="AN4" s="231"/>
      <c r="AO4" s="262"/>
      <c r="AP4" s="229"/>
      <c r="AQ4" s="229"/>
      <c r="AR4" s="229"/>
    </row>
    <row r="5" spans="1:44" ht="13.5">
      <c r="A5" s="229"/>
      <c r="B5" s="230"/>
      <c r="C5" s="231"/>
      <c r="D5" s="231"/>
      <c r="E5" s="231"/>
      <c r="F5" s="231"/>
      <c r="G5" s="231"/>
      <c r="H5" s="231"/>
      <c r="I5" s="231"/>
      <c r="J5" s="231"/>
      <c r="K5" s="262"/>
      <c r="L5" s="230"/>
      <c r="M5" s="242"/>
      <c r="N5" s="243"/>
      <c r="O5" s="242"/>
      <c r="P5" s="246"/>
      <c r="Q5" s="243"/>
      <c r="R5" s="261"/>
      <c r="AC5" s="229"/>
      <c r="AD5" s="229"/>
      <c r="AE5" s="229"/>
      <c r="AF5" s="229"/>
      <c r="AG5" s="229"/>
      <c r="AH5" s="229"/>
      <c r="AI5" s="229"/>
      <c r="AJ5" s="230"/>
      <c r="AK5" s="231"/>
      <c r="AL5" s="231"/>
      <c r="AM5" s="231"/>
      <c r="AN5" s="231"/>
      <c r="AO5" s="262"/>
      <c r="AP5" s="229"/>
      <c r="AQ5" s="229"/>
      <c r="AR5" s="229"/>
    </row>
    <row r="8" spans="1:44" s="92" customFormat="1" ht="19.5" customHeight="1">
      <c r="A8" s="239" t="s">
        <v>259</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row>
    <row r="9" spans="1:44" s="92" customFormat="1" ht="19.5" customHeight="1">
      <c r="A9" s="247" t="s">
        <v>243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92" customFormat="1" ht="19.5" customHeight="1">
      <c r="A10" s="247" t="s">
        <v>244</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row>
    <row r="13" ht="15.75" customHeight="1">
      <c r="A13" s="114" t="s">
        <v>206</v>
      </c>
    </row>
    <row r="14" ht="15.75" customHeight="1">
      <c r="A14" s="114" t="s">
        <v>207</v>
      </c>
    </row>
    <row r="15" ht="13.5" customHeight="1"/>
    <row r="17" s="92" customFormat="1" ht="15.75" customHeight="1">
      <c r="A17" s="92" t="s">
        <v>257</v>
      </c>
    </row>
    <row r="18" s="92" customFormat="1" ht="15.75" customHeight="1">
      <c r="A18" s="92" t="s">
        <v>255</v>
      </c>
    </row>
    <row r="19" s="92" customFormat="1" ht="15.75" customHeight="1">
      <c r="A19" s="92" t="s">
        <v>256</v>
      </c>
    </row>
    <row r="22" spans="1:44" ht="13.5">
      <c r="A22" s="232" t="s">
        <v>208</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row>
    <row r="25" ht="15.75" customHeight="1">
      <c r="A25" s="114" t="s">
        <v>209</v>
      </c>
    </row>
    <row r="26" spans="1:44" ht="18" customHeight="1">
      <c r="A26" s="233" t="s">
        <v>210</v>
      </c>
      <c r="B26" s="233"/>
      <c r="C26" s="233"/>
      <c r="D26" s="233"/>
      <c r="E26" s="233"/>
      <c r="F26" s="233"/>
      <c r="G26" s="233"/>
      <c r="H26" s="234"/>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6"/>
      <c r="AL26" s="237" t="s">
        <v>211</v>
      </c>
      <c r="AM26" s="237"/>
      <c r="AN26" s="237"/>
      <c r="AO26" s="237"/>
      <c r="AP26" s="237"/>
      <c r="AQ26" s="237"/>
      <c r="AR26" s="237"/>
    </row>
    <row r="27" spans="1:44" ht="18" customHeight="1">
      <c r="A27" s="238" t="s">
        <v>212</v>
      </c>
      <c r="B27" s="238"/>
      <c r="C27" s="238"/>
      <c r="D27" s="238"/>
      <c r="E27" s="238"/>
      <c r="F27" s="238"/>
      <c r="G27" s="238"/>
      <c r="H27" s="220"/>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2"/>
      <c r="AL27" s="237"/>
      <c r="AM27" s="237"/>
      <c r="AN27" s="237"/>
      <c r="AO27" s="237"/>
      <c r="AP27" s="237"/>
      <c r="AQ27" s="237"/>
      <c r="AR27" s="237"/>
    </row>
    <row r="28" spans="1:44" ht="18" customHeight="1">
      <c r="A28" s="213"/>
      <c r="B28" s="213"/>
      <c r="C28" s="213"/>
      <c r="D28" s="213"/>
      <c r="E28" s="213"/>
      <c r="F28" s="213"/>
      <c r="G28" s="213"/>
      <c r="H28" s="217"/>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9"/>
      <c r="AL28" s="237"/>
      <c r="AM28" s="237"/>
      <c r="AN28" s="237"/>
      <c r="AO28" s="237"/>
      <c r="AP28" s="237"/>
      <c r="AQ28" s="237"/>
      <c r="AR28" s="237"/>
    </row>
    <row r="29" spans="1:44" ht="18" customHeight="1">
      <c r="A29" s="233" t="s">
        <v>210</v>
      </c>
      <c r="B29" s="233"/>
      <c r="C29" s="233"/>
      <c r="D29" s="233"/>
      <c r="E29" s="233"/>
      <c r="F29" s="233"/>
      <c r="G29" s="233"/>
      <c r="H29" s="234"/>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6"/>
      <c r="AL29" s="237"/>
      <c r="AM29" s="237"/>
      <c r="AN29" s="237"/>
      <c r="AO29" s="237"/>
      <c r="AP29" s="237"/>
      <c r="AQ29" s="237"/>
      <c r="AR29" s="237"/>
    </row>
    <row r="30" spans="1:44" ht="18" customHeight="1">
      <c r="A30" s="238" t="s">
        <v>213</v>
      </c>
      <c r="B30" s="238"/>
      <c r="C30" s="238"/>
      <c r="D30" s="238"/>
      <c r="E30" s="238"/>
      <c r="F30" s="238"/>
      <c r="G30" s="238"/>
      <c r="H30" s="220"/>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2"/>
      <c r="AL30" s="237"/>
      <c r="AM30" s="237"/>
      <c r="AN30" s="237"/>
      <c r="AO30" s="237"/>
      <c r="AP30" s="237"/>
      <c r="AQ30" s="237"/>
      <c r="AR30" s="237"/>
    </row>
    <row r="31" spans="1:44" ht="18" customHeight="1">
      <c r="A31" s="213"/>
      <c r="B31" s="213"/>
      <c r="C31" s="213"/>
      <c r="D31" s="213"/>
      <c r="E31" s="213"/>
      <c r="F31" s="213"/>
      <c r="G31" s="213"/>
      <c r="H31" s="217"/>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9"/>
      <c r="AL31" s="237"/>
      <c r="AM31" s="237"/>
      <c r="AN31" s="237"/>
      <c r="AO31" s="237"/>
      <c r="AP31" s="237"/>
      <c r="AQ31" s="237"/>
      <c r="AR31" s="237"/>
    </row>
    <row r="32" spans="1:44" s="92" customFormat="1" ht="15" customHeight="1">
      <c r="A32" s="228" t="s">
        <v>258</v>
      </c>
      <c r="B32" s="228"/>
      <c r="C32" s="228"/>
      <c r="D32" s="228"/>
      <c r="E32" s="228"/>
      <c r="F32" s="228"/>
      <c r="G32" s="228"/>
      <c r="H32" s="248"/>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50"/>
    </row>
    <row r="33" spans="1:44" s="92" customFormat="1" ht="15" customHeight="1">
      <c r="A33" s="228"/>
      <c r="B33" s="228"/>
      <c r="C33" s="228"/>
      <c r="D33" s="228"/>
      <c r="E33" s="228"/>
      <c r="F33" s="228"/>
      <c r="G33" s="228"/>
      <c r="H33" s="251"/>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3"/>
    </row>
    <row r="34" spans="1:44" ht="18" customHeight="1">
      <c r="A34" s="213" t="s">
        <v>214</v>
      </c>
      <c r="B34" s="213"/>
      <c r="C34" s="213"/>
      <c r="D34" s="213"/>
      <c r="E34" s="213"/>
      <c r="F34" s="213"/>
      <c r="G34" s="213"/>
      <c r="H34" s="117" t="s">
        <v>215</v>
      </c>
      <c r="I34" s="223"/>
      <c r="J34" s="223"/>
      <c r="K34" s="223"/>
      <c r="L34" s="223"/>
      <c r="M34" s="118" t="s">
        <v>216</v>
      </c>
      <c r="N34" s="223"/>
      <c r="O34" s="223"/>
      <c r="P34" s="223"/>
      <c r="Q34" s="223"/>
      <c r="R34" s="223"/>
      <c r="S34" s="119" t="s">
        <v>217</v>
      </c>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1"/>
    </row>
    <row r="35" spans="1:44" ht="18" customHeight="1">
      <c r="A35" s="213"/>
      <c r="B35" s="213"/>
      <c r="C35" s="213"/>
      <c r="D35" s="213"/>
      <c r="E35" s="213"/>
      <c r="F35" s="213"/>
      <c r="G35" s="213"/>
      <c r="H35" s="224"/>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6"/>
    </row>
    <row r="36" spans="1:44" ht="18" customHeight="1">
      <c r="A36" s="213"/>
      <c r="B36" s="213"/>
      <c r="C36" s="213"/>
      <c r="D36" s="213"/>
      <c r="E36" s="213"/>
      <c r="F36" s="213"/>
      <c r="G36" s="213"/>
      <c r="H36" s="217"/>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9"/>
    </row>
    <row r="38" ht="15.75" customHeight="1">
      <c r="A38" s="114" t="s">
        <v>218</v>
      </c>
    </row>
    <row r="39" spans="1:44" ht="18" customHeight="1">
      <c r="A39" s="213" t="s">
        <v>214</v>
      </c>
      <c r="B39" s="213"/>
      <c r="C39" s="213"/>
      <c r="D39" s="213"/>
      <c r="E39" s="213"/>
      <c r="F39" s="213"/>
      <c r="G39" s="213"/>
      <c r="H39" s="117" t="s">
        <v>215</v>
      </c>
      <c r="I39" s="223"/>
      <c r="J39" s="223"/>
      <c r="K39" s="223"/>
      <c r="L39" s="223"/>
      <c r="M39" s="118" t="s">
        <v>216</v>
      </c>
      <c r="N39" s="223"/>
      <c r="O39" s="223"/>
      <c r="P39" s="223"/>
      <c r="Q39" s="223"/>
      <c r="R39" s="223"/>
      <c r="S39" s="119" t="s">
        <v>217</v>
      </c>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1"/>
    </row>
    <row r="40" spans="1:44" ht="18" customHeight="1">
      <c r="A40" s="213"/>
      <c r="B40" s="213"/>
      <c r="C40" s="213"/>
      <c r="D40" s="213"/>
      <c r="E40" s="213"/>
      <c r="F40" s="213"/>
      <c r="G40" s="213"/>
      <c r="H40" s="227"/>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6"/>
    </row>
    <row r="41" spans="1:44" ht="18" customHeight="1">
      <c r="A41" s="213"/>
      <c r="B41" s="213"/>
      <c r="C41" s="213"/>
      <c r="D41" s="213"/>
      <c r="E41" s="213"/>
      <c r="F41" s="213"/>
      <c r="G41" s="213"/>
      <c r="H41" s="217"/>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9"/>
    </row>
    <row r="42" spans="1:44" ht="15" customHeight="1">
      <c r="A42" s="213" t="s">
        <v>219</v>
      </c>
      <c r="B42" s="213"/>
      <c r="C42" s="213"/>
      <c r="D42" s="213"/>
      <c r="E42" s="213"/>
      <c r="F42" s="213"/>
      <c r="G42" s="213"/>
      <c r="H42" s="214"/>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6"/>
    </row>
    <row r="43" spans="1:44" ht="15" customHeight="1">
      <c r="A43" s="213"/>
      <c r="B43" s="213"/>
      <c r="C43" s="213"/>
      <c r="D43" s="213"/>
      <c r="E43" s="213"/>
      <c r="F43" s="213"/>
      <c r="G43" s="213"/>
      <c r="H43" s="217"/>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9"/>
    </row>
    <row r="45" ht="15.75" customHeight="1">
      <c r="A45" s="114" t="s">
        <v>220</v>
      </c>
    </row>
    <row r="47" spans="1:2" ht="13.5">
      <c r="A47" s="124"/>
      <c r="B47" s="114" t="s">
        <v>221</v>
      </c>
    </row>
  </sheetData>
  <sheetProtection/>
  <mergeCells count="40">
    <mergeCell ref="A3:R3"/>
    <mergeCell ref="AC3:AR3"/>
    <mergeCell ref="A4:B5"/>
    <mergeCell ref="C4:D5"/>
    <mergeCell ref="E4:F5"/>
    <mergeCell ref="G4:H5"/>
    <mergeCell ref="I4:J5"/>
    <mergeCell ref="K4:L5"/>
    <mergeCell ref="AO4:AR5"/>
    <mergeCell ref="Q4:R5"/>
    <mergeCell ref="I39:L39"/>
    <mergeCell ref="N39:R39"/>
    <mergeCell ref="A8:AR8"/>
    <mergeCell ref="M4:N5"/>
    <mergeCell ref="O4:P5"/>
    <mergeCell ref="A9:AR9"/>
    <mergeCell ref="A10:AR10"/>
    <mergeCell ref="H29:AK29"/>
    <mergeCell ref="H32:AR33"/>
    <mergeCell ref="A30:G31"/>
    <mergeCell ref="AC4:AF5"/>
    <mergeCell ref="AG4:AJ5"/>
    <mergeCell ref="AK4:AN5"/>
    <mergeCell ref="A22:AR22"/>
    <mergeCell ref="A26:G26"/>
    <mergeCell ref="H26:AK26"/>
    <mergeCell ref="AL26:AR31"/>
    <mergeCell ref="A27:G28"/>
    <mergeCell ref="H27:AK28"/>
    <mergeCell ref="A29:G29"/>
    <mergeCell ref="A42:G43"/>
    <mergeCell ref="H42:AR43"/>
    <mergeCell ref="H30:AK31"/>
    <mergeCell ref="A34:G36"/>
    <mergeCell ref="I34:L34"/>
    <mergeCell ref="N34:R34"/>
    <mergeCell ref="H35:AR36"/>
    <mergeCell ref="A39:G41"/>
    <mergeCell ref="H40:AR41"/>
    <mergeCell ref="A32:G33"/>
  </mergeCells>
  <dataValidations count="1">
    <dataValidation allowBlank="1" showInputMessage="1" showErrorMessage="1" imeMode="halfAlpha" sqref="N39:R39 I34:L34 N34:R34 AK4:AR5 I39:L39"/>
  </dataValidations>
  <printOptions horizontalCentered="1"/>
  <pageMargins left="0.5118110236220472" right="0.4724409448818898" top="0.5905511811023623"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A28"/>
  <sheetViews>
    <sheetView zoomScalePageLayoutView="0" workbookViewId="0" topLeftCell="A1">
      <selection activeCell="M7" sqref="M7"/>
    </sheetView>
  </sheetViews>
  <sheetFormatPr defaultColWidth="10.625" defaultRowHeight="24.75" customHeight="1"/>
  <cols>
    <col min="1" max="5" width="10.625" style="46" customWidth="1"/>
    <col min="6" max="18" width="10.625" style="153"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149</v>
      </c>
      <c r="C1" s="307" t="s">
        <v>290</v>
      </c>
      <c r="D1" s="308"/>
      <c r="E1" s="308"/>
      <c r="G1" s="154" t="s">
        <v>145</v>
      </c>
      <c r="H1" s="155"/>
      <c r="I1" s="154" t="s">
        <v>146</v>
      </c>
      <c r="J1" s="156"/>
      <c r="K1" s="157"/>
      <c r="L1" s="157"/>
      <c r="M1" s="158"/>
      <c r="R1" s="46"/>
      <c r="S1" s="153"/>
      <c r="T1" s="47" t="s">
        <v>150</v>
      </c>
      <c r="U1" s="159"/>
    </row>
    <row r="2" spans="3:19" ht="24.75" customHeight="1" thickBot="1">
      <c r="C2" s="46" t="s">
        <v>47</v>
      </c>
      <c r="G2" s="160" t="s">
        <v>124</v>
      </c>
      <c r="J2" s="68" t="s">
        <v>132</v>
      </c>
      <c r="K2" s="68"/>
      <c r="L2" s="68"/>
      <c r="N2" s="153" t="s">
        <v>151</v>
      </c>
      <c r="R2" s="46"/>
      <c r="S2" s="153"/>
    </row>
    <row r="3" spans="1:19" ht="24.75" customHeight="1" thickBot="1" thickTop="1">
      <c r="A3" s="64"/>
      <c r="B3" s="65" t="s">
        <v>127</v>
      </c>
      <c r="D3" s="161" t="s">
        <v>107</v>
      </c>
      <c r="G3" s="162">
        <f>+'[9]【入力ｼｰﾄ②】ｺｰｼﾞｪﾈ方式(導入前)'!B4*'[9]【入力ｼｰﾄ②】ｺｰｼﾞｪﾈ方式(導入前)'!B16</f>
        <v>1000</v>
      </c>
      <c r="H3" s="163" t="s">
        <v>291</v>
      </c>
      <c r="J3" s="69" t="s">
        <v>133</v>
      </c>
      <c r="K3" s="69">
        <v>0.0258</v>
      </c>
      <c r="L3" s="69" t="s">
        <v>292</v>
      </c>
      <c r="N3" s="164" t="s">
        <v>152</v>
      </c>
      <c r="O3" s="165"/>
      <c r="P3" s="165"/>
      <c r="Q3" s="165"/>
      <c r="R3" s="166"/>
      <c r="S3" s="167" t="s">
        <v>153</v>
      </c>
    </row>
    <row r="4" spans="1:19" ht="24.75" customHeight="1" thickBot="1" thickTop="1">
      <c r="A4" s="56"/>
      <c r="B4" s="65" t="s">
        <v>128</v>
      </c>
      <c r="C4" s="86" t="s">
        <v>8</v>
      </c>
      <c r="D4" s="168">
        <f>+'[9]【入力ｼｰﾄ①】従来方式(導入前)'!B11</f>
        <v>1.2222222222222223</v>
      </c>
      <c r="E4" s="169" t="s">
        <v>293</v>
      </c>
      <c r="J4" s="69" t="s">
        <v>135</v>
      </c>
      <c r="K4" s="69">
        <v>0.252</v>
      </c>
      <c r="L4" s="70" t="s">
        <v>294</v>
      </c>
      <c r="N4" s="164" t="s">
        <v>154</v>
      </c>
      <c r="O4" s="165"/>
      <c r="P4" s="165"/>
      <c r="Q4" s="165"/>
      <c r="R4" s="170"/>
      <c r="S4" s="167" t="s">
        <v>295</v>
      </c>
    </row>
    <row r="5" spans="3:19" ht="24.75" customHeight="1" thickTop="1">
      <c r="C5" s="86" t="s">
        <v>49</v>
      </c>
      <c r="D5" s="168">
        <f>+'[9]【入力ｼｰﾄ①】従来方式(導入前)'!B22</f>
        <v>1.2941176470588236</v>
      </c>
      <c r="E5" s="169" t="s">
        <v>293</v>
      </c>
      <c r="R5" s="46"/>
      <c r="S5" s="153"/>
    </row>
    <row r="6" spans="3:19" ht="24.75" customHeight="1">
      <c r="C6" s="86" t="s">
        <v>50</v>
      </c>
      <c r="D6" s="168">
        <f>+'[9]【入力ｼｰﾄ①】従来方式(導入前)'!B28</f>
        <v>0.8148148148148149</v>
      </c>
      <c r="E6" s="169" t="s">
        <v>293</v>
      </c>
      <c r="R6" s="46"/>
      <c r="S6" s="153"/>
    </row>
    <row r="7" spans="3:19" ht="24.75" customHeight="1" thickBot="1">
      <c r="C7" s="86" t="s">
        <v>120</v>
      </c>
      <c r="D7" s="171">
        <f>+'[9]【入力ｼｰﾄ①】従来方式(導入前)'!B31</f>
        <v>1.2222222222222223</v>
      </c>
      <c r="E7" s="169" t="s">
        <v>293</v>
      </c>
      <c r="R7" s="46"/>
      <c r="S7" s="153"/>
    </row>
    <row r="8" spans="3:19" ht="24.75" customHeight="1" thickTop="1">
      <c r="C8" s="48"/>
      <c r="D8" s="67"/>
      <c r="E8" s="48"/>
      <c r="R8" s="46"/>
      <c r="S8" s="153"/>
    </row>
    <row r="9" spans="1:27" ht="24.75" customHeight="1" thickBot="1">
      <c r="A9" s="86" t="s">
        <v>296</v>
      </c>
      <c r="B9" s="172"/>
      <c r="C9" s="173"/>
      <c r="D9" s="173"/>
      <c r="E9" s="88"/>
      <c r="F9" s="87"/>
      <c r="G9" s="87"/>
      <c r="H9" s="172"/>
      <c r="I9" s="174"/>
      <c r="J9" s="174"/>
      <c r="K9" s="175"/>
      <c r="L9" s="409" t="s">
        <v>114</v>
      </c>
      <c r="M9" s="409"/>
      <c r="N9" s="409"/>
      <c r="O9" s="409"/>
      <c r="P9" s="410" t="s">
        <v>115</v>
      </c>
      <c r="Q9" s="410"/>
      <c r="R9" s="410"/>
      <c r="S9" s="410"/>
      <c r="T9" s="410" t="s">
        <v>119</v>
      </c>
      <c r="U9" s="309" t="s">
        <v>12</v>
      </c>
      <c r="V9" s="177" t="s">
        <v>139</v>
      </c>
      <c r="W9" s="72"/>
      <c r="X9" s="72"/>
      <c r="Y9" s="73"/>
      <c r="Z9" s="73"/>
      <c r="AA9" s="74"/>
    </row>
    <row r="10" spans="1:27" ht="24.75" customHeight="1" thickTop="1">
      <c r="A10" s="411"/>
      <c r="B10" s="178" t="s">
        <v>7</v>
      </c>
      <c r="C10" s="161" t="s">
        <v>10</v>
      </c>
      <c r="D10" s="179" t="s">
        <v>129</v>
      </c>
      <c r="E10" s="169" t="s">
        <v>201</v>
      </c>
      <c r="F10" s="58" t="s">
        <v>11</v>
      </c>
      <c r="G10" s="180" t="s">
        <v>200</v>
      </c>
      <c r="H10" s="181" t="s">
        <v>42</v>
      </c>
      <c r="I10" s="182" t="s">
        <v>9</v>
      </c>
      <c r="J10" s="183" t="s">
        <v>105</v>
      </c>
      <c r="K10" s="184" t="s">
        <v>112</v>
      </c>
      <c r="L10" s="185" t="s">
        <v>108</v>
      </c>
      <c r="M10" s="186" t="s">
        <v>109</v>
      </c>
      <c r="N10" s="186" t="s">
        <v>110</v>
      </c>
      <c r="O10" s="187" t="s">
        <v>113</v>
      </c>
      <c r="P10" s="188" t="s">
        <v>13</v>
      </c>
      <c r="Q10" s="176" t="s">
        <v>116</v>
      </c>
      <c r="R10" s="176" t="s">
        <v>117</v>
      </c>
      <c r="S10" s="176" t="s">
        <v>118</v>
      </c>
      <c r="T10" s="410"/>
      <c r="U10" s="309"/>
      <c r="V10" s="47" t="s">
        <v>7</v>
      </c>
      <c r="W10" s="47" t="s">
        <v>10</v>
      </c>
      <c r="X10" s="176" t="s">
        <v>108</v>
      </c>
      <c r="Y10" s="176" t="s">
        <v>109</v>
      </c>
      <c r="Z10" s="176" t="s">
        <v>110</v>
      </c>
      <c r="AA10" s="176" t="s">
        <v>113</v>
      </c>
    </row>
    <row r="11" spans="1:27" ht="24.75" customHeight="1">
      <c r="A11" s="411"/>
      <c r="B11" s="189" t="s">
        <v>302</v>
      </c>
      <c r="C11" s="190" t="s">
        <v>297</v>
      </c>
      <c r="D11" s="191" t="s">
        <v>297</v>
      </c>
      <c r="E11" s="169" t="s">
        <v>303</v>
      </c>
      <c r="F11" s="58"/>
      <c r="G11" s="180"/>
      <c r="H11" s="192" t="s">
        <v>126</v>
      </c>
      <c r="I11" s="193" t="s">
        <v>298</v>
      </c>
      <c r="J11" s="194" t="s">
        <v>298</v>
      </c>
      <c r="K11" s="195" t="s">
        <v>138</v>
      </c>
      <c r="L11" s="196" t="s">
        <v>298</v>
      </c>
      <c r="M11" s="197" t="s">
        <v>298</v>
      </c>
      <c r="N11" s="197" t="s">
        <v>298</v>
      </c>
      <c r="O11" s="198" t="s">
        <v>298</v>
      </c>
      <c r="P11" s="199" t="s">
        <v>298</v>
      </c>
      <c r="Q11" s="200" t="s">
        <v>298</v>
      </c>
      <c r="R11" s="200" t="s">
        <v>298</v>
      </c>
      <c r="S11" s="200" t="s">
        <v>138</v>
      </c>
      <c r="T11" s="200" t="s">
        <v>304</v>
      </c>
      <c r="U11" s="62"/>
      <c r="V11" s="47" t="s">
        <v>305</v>
      </c>
      <c r="W11" s="47" t="s">
        <v>306</v>
      </c>
      <c r="X11" s="197" t="s">
        <v>307</v>
      </c>
      <c r="Y11" s="197" t="s">
        <v>307</v>
      </c>
      <c r="Z11" s="197" t="s">
        <v>307</v>
      </c>
      <c r="AA11" s="197" t="s">
        <v>307</v>
      </c>
    </row>
    <row r="12" spans="1:27" ht="24.75" customHeight="1" thickBot="1">
      <c r="A12" s="86" t="s">
        <v>16</v>
      </c>
      <c r="B12" s="201">
        <v>75000</v>
      </c>
      <c r="C12" s="202">
        <v>300</v>
      </c>
      <c r="D12" s="203">
        <v>12</v>
      </c>
      <c r="E12" s="204">
        <f>C12-D12</f>
        <v>288</v>
      </c>
      <c r="F12" s="57">
        <f>+$C12*3600/$B12/'[9]【入力ｼｰﾄ②】ｺｰｼﾞｪﾈ方式(導入前)'!$F$6</f>
        <v>0.35467980295566504</v>
      </c>
      <c r="G12" s="205">
        <f>+$E12*3600/$B12/'[9]【入力ｼｰﾄ②】ｺｰｼﾞｪﾈ方式(導入前)'!$F$6</f>
        <v>0.3404926108374384</v>
      </c>
      <c r="H12" s="202">
        <v>300</v>
      </c>
      <c r="I12" s="206">
        <v>450</v>
      </c>
      <c r="J12" s="207">
        <v>720</v>
      </c>
      <c r="K12" s="208">
        <v>0</v>
      </c>
      <c r="L12" s="206">
        <v>450</v>
      </c>
      <c r="M12" s="207">
        <v>400</v>
      </c>
      <c r="N12" s="207">
        <v>0</v>
      </c>
      <c r="O12" s="208">
        <v>0</v>
      </c>
      <c r="P12" s="204">
        <f>+L12*$D$4</f>
        <v>550</v>
      </c>
      <c r="Q12" s="209">
        <f aca="true" t="shared" si="0" ref="Q12:Q23">+M12*$D$5</f>
        <v>517.6470588235294</v>
      </c>
      <c r="R12" s="209">
        <f aca="true" t="shared" si="1" ref="R12:R23">+N12*$D$6</f>
        <v>0</v>
      </c>
      <c r="S12" s="209">
        <f aca="true" t="shared" si="2" ref="S12:S23">+O12*$D$7</f>
        <v>0</v>
      </c>
      <c r="T12" s="209">
        <f>+E12*$K$4+(P12+Q12+R12+S12)*$K$3-B12/1000*'[9]【入力ｼｰﾄ②】ｺｰｼﾞｪﾈ方式(導入前)'!$F$7*$K$3</f>
        <v>13.04629411764705</v>
      </c>
      <c r="U12" s="57">
        <f>+T12/((P12+Q12+R12+S12)*$K$3+$E12*$K$4)</f>
        <v>0.13030488901109352</v>
      </c>
      <c r="V12" s="91">
        <f>B12/$H12</f>
        <v>250</v>
      </c>
      <c r="W12" s="47">
        <f>C12/$H12*1000</f>
        <v>1000</v>
      </c>
      <c r="X12" s="91">
        <f>L12*1000/$H12</f>
        <v>1500</v>
      </c>
      <c r="Y12" s="91">
        <f>M12*1000/$H12</f>
        <v>1333.3333333333333</v>
      </c>
      <c r="Z12" s="91">
        <f>N12*1000/$H12</f>
        <v>0</v>
      </c>
      <c r="AA12" s="91">
        <f>O12*1000/$H12</f>
        <v>0</v>
      </c>
    </row>
    <row r="13" spans="1:27" ht="24.75" customHeight="1" thickTop="1">
      <c r="A13" s="47" t="s">
        <v>17</v>
      </c>
      <c r="B13" s="210"/>
      <c r="C13" s="210"/>
      <c r="D13" s="210"/>
      <c r="E13" s="209">
        <f aca="true" t="shared" si="3" ref="E13:E23">C13-D13</f>
        <v>0</v>
      </c>
      <c r="F13" s="57" t="e">
        <f>+$C13*3600/$B13/'[9]【入力ｼｰﾄ②】ｺｰｼﾞｪﾈ方式(導入前)'!$F$6</f>
        <v>#DIV/0!</v>
      </c>
      <c r="G13" s="57" t="e">
        <f>+$E13*3600/$B13/'[9]【入力ｼｰﾄ②】ｺｰｼﾞｪﾈ方式(導入前)'!$F$6</f>
        <v>#DIV/0!</v>
      </c>
      <c r="H13" s="210"/>
      <c r="I13" s="210"/>
      <c r="J13" s="210"/>
      <c r="K13" s="210"/>
      <c r="L13" s="210"/>
      <c r="M13" s="210"/>
      <c r="N13" s="210"/>
      <c r="O13" s="210"/>
      <c r="P13" s="209">
        <f aca="true" t="shared" si="4" ref="P13:P23">+L13*$D$4</f>
        <v>0</v>
      </c>
      <c r="Q13" s="209">
        <f t="shared" si="0"/>
        <v>0</v>
      </c>
      <c r="R13" s="209">
        <f t="shared" si="1"/>
        <v>0</v>
      </c>
      <c r="S13" s="209">
        <f t="shared" si="2"/>
        <v>0</v>
      </c>
      <c r="T13" s="209">
        <f>+E13*$K$4+(P13+Q13+R13+S13)*$K$3-B13/1000*'[9]【入力ｼｰﾄ②】ｺｰｼﾞｪﾈ方式(導入前)'!$F$7*$K$3</f>
        <v>0</v>
      </c>
      <c r="U13" s="57" t="e">
        <f aca="true" t="shared" si="5" ref="U13:U23">+T13/((P13+Q13+R13+S13)*$K$3+$E13*$K$4)</f>
        <v>#DIV/0!</v>
      </c>
      <c r="V13" s="91" t="e">
        <f aca="true" t="shared" si="6" ref="V13:V24">B13/$H13</f>
        <v>#DIV/0!</v>
      </c>
      <c r="W13" s="47" t="e">
        <f aca="true" t="shared" si="7" ref="W13:W24">C13/$H13*1000</f>
        <v>#DIV/0!</v>
      </c>
      <c r="X13" s="91" t="e">
        <f aca="true" t="shared" si="8" ref="X13:AA24">L13*1000/$H13</f>
        <v>#DIV/0!</v>
      </c>
      <c r="Y13" s="91" t="e">
        <f t="shared" si="8"/>
        <v>#DIV/0!</v>
      </c>
      <c r="Z13" s="91" t="e">
        <f t="shared" si="8"/>
        <v>#DIV/0!</v>
      </c>
      <c r="AA13" s="91" t="e">
        <f t="shared" si="8"/>
        <v>#DIV/0!</v>
      </c>
    </row>
    <row r="14" spans="1:27" ht="24.75" customHeight="1">
      <c r="A14" s="47" t="s">
        <v>18</v>
      </c>
      <c r="B14" s="211"/>
      <c r="C14" s="211"/>
      <c r="D14" s="211"/>
      <c r="E14" s="209">
        <f t="shared" si="3"/>
        <v>0</v>
      </c>
      <c r="F14" s="57" t="e">
        <f>+$C14*3600/$B14/'[9]【入力ｼｰﾄ②】ｺｰｼﾞｪﾈ方式(導入前)'!$F$6</f>
        <v>#DIV/0!</v>
      </c>
      <c r="G14" s="57" t="e">
        <f>+$E14*3600/$B14/'[9]【入力ｼｰﾄ②】ｺｰｼﾞｪﾈ方式(導入前)'!$F$6</f>
        <v>#DIV/0!</v>
      </c>
      <c r="H14" s="211"/>
      <c r="I14" s="211"/>
      <c r="J14" s="211"/>
      <c r="K14" s="211"/>
      <c r="L14" s="211"/>
      <c r="M14" s="211"/>
      <c r="N14" s="211"/>
      <c r="O14" s="211"/>
      <c r="P14" s="209">
        <f t="shared" si="4"/>
        <v>0</v>
      </c>
      <c r="Q14" s="209">
        <f t="shared" si="0"/>
        <v>0</v>
      </c>
      <c r="R14" s="209">
        <f t="shared" si="1"/>
        <v>0</v>
      </c>
      <c r="S14" s="209">
        <f t="shared" si="2"/>
        <v>0</v>
      </c>
      <c r="T14" s="209">
        <f>+E14*$K$4+(P14+Q14+R14+S14)*$K$3-B14/1000*'[9]【入力ｼｰﾄ②】ｺｰｼﾞｪﾈ方式(導入前)'!$F$7*$K$3</f>
        <v>0</v>
      </c>
      <c r="U14" s="57" t="e">
        <f t="shared" si="5"/>
        <v>#DIV/0!</v>
      </c>
      <c r="V14" s="91" t="e">
        <f t="shared" si="6"/>
        <v>#DIV/0!</v>
      </c>
      <c r="W14" s="47" t="e">
        <f t="shared" si="7"/>
        <v>#DIV/0!</v>
      </c>
      <c r="X14" s="91" t="e">
        <f t="shared" si="8"/>
        <v>#DIV/0!</v>
      </c>
      <c r="Y14" s="91" t="e">
        <f t="shared" si="8"/>
        <v>#DIV/0!</v>
      </c>
      <c r="Z14" s="91" t="e">
        <f t="shared" si="8"/>
        <v>#DIV/0!</v>
      </c>
      <c r="AA14" s="91" t="e">
        <f t="shared" si="8"/>
        <v>#DIV/0!</v>
      </c>
    </row>
    <row r="15" spans="1:27" ht="24.75" customHeight="1">
      <c r="A15" s="47" t="s">
        <v>19</v>
      </c>
      <c r="B15" s="211"/>
      <c r="C15" s="211"/>
      <c r="D15" s="211"/>
      <c r="E15" s="209">
        <f t="shared" si="3"/>
        <v>0</v>
      </c>
      <c r="F15" s="57" t="e">
        <f>+$C15*3600/$B15/'[9]【入力ｼｰﾄ②】ｺｰｼﾞｪﾈ方式(導入前)'!$F$6</f>
        <v>#DIV/0!</v>
      </c>
      <c r="G15" s="57" t="e">
        <f>+$E15*3600/$B15/'[9]【入力ｼｰﾄ②】ｺｰｼﾞｪﾈ方式(導入前)'!$F$6</f>
        <v>#DIV/0!</v>
      </c>
      <c r="H15" s="211"/>
      <c r="I15" s="211"/>
      <c r="J15" s="211"/>
      <c r="K15" s="211"/>
      <c r="L15" s="211"/>
      <c r="M15" s="211"/>
      <c r="N15" s="211"/>
      <c r="O15" s="211"/>
      <c r="P15" s="209">
        <f t="shared" si="4"/>
        <v>0</v>
      </c>
      <c r="Q15" s="209">
        <f t="shared" si="0"/>
        <v>0</v>
      </c>
      <c r="R15" s="209">
        <f t="shared" si="1"/>
        <v>0</v>
      </c>
      <c r="S15" s="209">
        <f t="shared" si="2"/>
        <v>0</v>
      </c>
      <c r="T15" s="209">
        <f>+E15*$K$4+(P15+Q15+R15+S15)*$K$3-B15/1000*'[9]【入力ｼｰﾄ②】ｺｰｼﾞｪﾈ方式(導入前)'!$F$7*$K$3</f>
        <v>0</v>
      </c>
      <c r="U15" s="57" t="e">
        <f t="shared" si="5"/>
        <v>#DIV/0!</v>
      </c>
      <c r="V15" s="91" t="e">
        <f t="shared" si="6"/>
        <v>#DIV/0!</v>
      </c>
      <c r="W15" s="47" t="e">
        <f t="shared" si="7"/>
        <v>#DIV/0!</v>
      </c>
      <c r="X15" s="91" t="e">
        <f t="shared" si="8"/>
        <v>#DIV/0!</v>
      </c>
      <c r="Y15" s="91" t="e">
        <f t="shared" si="8"/>
        <v>#DIV/0!</v>
      </c>
      <c r="Z15" s="91" t="e">
        <f t="shared" si="8"/>
        <v>#DIV/0!</v>
      </c>
      <c r="AA15" s="91" t="e">
        <f t="shared" si="8"/>
        <v>#DIV/0!</v>
      </c>
    </row>
    <row r="16" spans="1:27" ht="24.75" customHeight="1">
      <c r="A16" s="47" t="s">
        <v>20</v>
      </c>
      <c r="B16" s="211"/>
      <c r="C16" s="211"/>
      <c r="D16" s="211"/>
      <c r="E16" s="209">
        <f t="shared" si="3"/>
        <v>0</v>
      </c>
      <c r="F16" s="57" t="e">
        <f>+$C16*3600/$B16/'[9]【入力ｼｰﾄ②】ｺｰｼﾞｪﾈ方式(導入前)'!$F$6</f>
        <v>#DIV/0!</v>
      </c>
      <c r="G16" s="57" t="e">
        <f>+$E16*3600/$B16/'[9]【入力ｼｰﾄ②】ｺｰｼﾞｪﾈ方式(導入前)'!$F$6</f>
        <v>#DIV/0!</v>
      </c>
      <c r="H16" s="211"/>
      <c r="I16" s="211"/>
      <c r="J16" s="211"/>
      <c r="K16" s="211"/>
      <c r="L16" s="211"/>
      <c r="M16" s="211"/>
      <c r="N16" s="211"/>
      <c r="O16" s="211"/>
      <c r="P16" s="209">
        <f t="shared" si="4"/>
        <v>0</v>
      </c>
      <c r="Q16" s="209">
        <f t="shared" si="0"/>
        <v>0</v>
      </c>
      <c r="R16" s="209">
        <f t="shared" si="1"/>
        <v>0</v>
      </c>
      <c r="S16" s="209">
        <f t="shared" si="2"/>
        <v>0</v>
      </c>
      <c r="T16" s="209">
        <f>+E16*$K$4+(P16+Q16+R16+S16)*$K$3-B16/1000*'[9]【入力ｼｰﾄ②】ｺｰｼﾞｪﾈ方式(導入前)'!$F$7*$K$3</f>
        <v>0</v>
      </c>
      <c r="U16" s="57" t="e">
        <f t="shared" si="5"/>
        <v>#DIV/0!</v>
      </c>
      <c r="V16" s="91" t="e">
        <f t="shared" si="6"/>
        <v>#DIV/0!</v>
      </c>
      <c r="W16" s="47" t="e">
        <f t="shared" si="7"/>
        <v>#DIV/0!</v>
      </c>
      <c r="X16" s="91" t="e">
        <f t="shared" si="8"/>
        <v>#DIV/0!</v>
      </c>
      <c r="Y16" s="91" t="e">
        <f t="shared" si="8"/>
        <v>#DIV/0!</v>
      </c>
      <c r="Z16" s="91" t="e">
        <f t="shared" si="8"/>
        <v>#DIV/0!</v>
      </c>
      <c r="AA16" s="91" t="e">
        <f t="shared" si="8"/>
        <v>#DIV/0!</v>
      </c>
    </row>
    <row r="17" spans="1:27" ht="24.75" customHeight="1">
      <c r="A17" s="47" t="s">
        <v>0</v>
      </c>
      <c r="B17" s="211"/>
      <c r="C17" s="211"/>
      <c r="D17" s="211"/>
      <c r="E17" s="209">
        <f t="shared" si="3"/>
        <v>0</v>
      </c>
      <c r="F17" s="57" t="e">
        <f>+$C17*3600/$B17/'[9]【入力ｼｰﾄ②】ｺｰｼﾞｪﾈ方式(導入前)'!$F$6</f>
        <v>#DIV/0!</v>
      </c>
      <c r="G17" s="57" t="e">
        <f>+$E17*3600/$B17/'[9]【入力ｼｰﾄ②】ｺｰｼﾞｪﾈ方式(導入前)'!$F$6</f>
        <v>#DIV/0!</v>
      </c>
      <c r="H17" s="211"/>
      <c r="I17" s="211"/>
      <c r="J17" s="211"/>
      <c r="K17" s="211"/>
      <c r="L17" s="211"/>
      <c r="M17" s="211"/>
      <c r="N17" s="211"/>
      <c r="O17" s="211"/>
      <c r="P17" s="209">
        <f t="shared" si="4"/>
        <v>0</v>
      </c>
      <c r="Q17" s="209">
        <f t="shared" si="0"/>
        <v>0</v>
      </c>
      <c r="R17" s="209">
        <f t="shared" si="1"/>
        <v>0</v>
      </c>
      <c r="S17" s="209">
        <f t="shared" si="2"/>
        <v>0</v>
      </c>
      <c r="T17" s="209">
        <f>+E17*$K$4+(P17+Q17+R17+S17)*$K$3-B17/1000*'[9]【入力ｼｰﾄ②】ｺｰｼﾞｪﾈ方式(導入前)'!$F$7*$K$3</f>
        <v>0</v>
      </c>
      <c r="U17" s="57" t="e">
        <f t="shared" si="5"/>
        <v>#DIV/0!</v>
      </c>
      <c r="V17" s="91" t="e">
        <f t="shared" si="6"/>
        <v>#DIV/0!</v>
      </c>
      <c r="W17" s="47" t="e">
        <f t="shared" si="7"/>
        <v>#DIV/0!</v>
      </c>
      <c r="X17" s="91" t="e">
        <f t="shared" si="8"/>
        <v>#DIV/0!</v>
      </c>
      <c r="Y17" s="91" t="e">
        <f t="shared" si="8"/>
        <v>#DIV/0!</v>
      </c>
      <c r="Z17" s="91" t="e">
        <f t="shared" si="8"/>
        <v>#DIV/0!</v>
      </c>
      <c r="AA17" s="91" t="e">
        <f t="shared" si="8"/>
        <v>#DIV/0!</v>
      </c>
    </row>
    <row r="18" spans="1:27" ht="24.75" customHeight="1">
      <c r="A18" s="47" t="s">
        <v>1</v>
      </c>
      <c r="B18" s="211"/>
      <c r="C18" s="211"/>
      <c r="D18" s="211"/>
      <c r="E18" s="209">
        <f t="shared" si="3"/>
        <v>0</v>
      </c>
      <c r="F18" s="57" t="e">
        <f>+$C18*3600/$B18/'[9]【入力ｼｰﾄ②】ｺｰｼﾞｪﾈ方式(導入前)'!$F$6</f>
        <v>#DIV/0!</v>
      </c>
      <c r="G18" s="57" t="e">
        <f>+$E18*3600/$B18/'[9]【入力ｼｰﾄ②】ｺｰｼﾞｪﾈ方式(導入前)'!$F$6</f>
        <v>#DIV/0!</v>
      </c>
      <c r="H18" s="211"/>
      <c r="I18" s="211"/>
      <c r="J18" s="211"/>
      <c r="K18" s="211"/>
      <c r="L18" s="211"/>
      <c r="M18" s="211"/>
      <c r="N18" s="211"/>
      <c r="O18" s="211"/>
      <c r="P18" s="209">
        <f t="shared" si="4"/>
        <v>0</v>
      </c>
      <c r="Q18" s="209">
        <f t="shared" si="0"/>
        <v>0</v>
      </c>
      <c r="R18" s="209">
        <f t="shared" si="1"/>
        <v>0</v>
      </c>
      <c r="S18" s="209">
        <f t="shared" si="2"/>
        <v>0</v>
      </c>
      <c r="T18" s="209">
        <f>+E18*$K$4+(P18+Q18+R18+S18)*$K$3-B18/1000*'[9]【入力ｼｰﾄ②】ｺｰｼﾞｪﾈ方式(導入前)'!$F$7*$K$3</f>
        <v>0</v>
      </c>
      <c r="U18" s="57" t="e">
        <f t="shared" si="5"/>
        <v>#DIV/0!</v>
      </c>
      <c r="V18" s="91" t="e">
        <f t="shared" si="6"/>
        <v>#DIV/0!</v>
      </c>
      <c r="W18" s="47" t="e">
        <f t="shared" si="7"/>
        <v>#DIV/0!</v>
      </c>
      <c r="X18" s="91" t="e">
        <f t="shared" si="8"/>
        <v>#DIV/0!</v>
      </c>
      <c r="Y18" s="91" t="e">
        <f t="shared" si="8"/>
        <v>#DIV/0!</v>
      </c>
      <c r="Z18" s="91" t="e">
        <f t="shared" si="8"/>
        <v>#DIV/0!</v>
      </c>
      <c r="AA18" s="91" t="e">
        <f t="shared" si="8"/>
        <v>#DIV/0!</v>
      </c>
    </row>
    <row r="19" spans="1:27" ht="24.75" customHeight="1">
      <c r="A19" s="47" t="s">
        <v>2</v>
      </c>
      <c r="B19" s="211"/>
      <c r="C19" s="211"/>
      <c r="D19" s="211"/>
      <c r="E19" s="209">
        <f t="shared" si="3"/>
        <v>0</v>
      </c>
      <c r="F19" s="57" t="e">
        <f>+$C19*3600/$B19/'[9]【入力ｼｰﾄ②】ｺｰｼﾞｪﾈ方式(導入前)'!$F$6</f>
        <v>#DIV/0!</v>
      </c>
      <c r="G19" s="57" t="e">
        <f>+$E19*3600/$B19/'[9]【入力ｼｰﾄ②】ｺｰｼﾞｪﾈ方式(導入前)'!$F$6</f>
        <v>#DIV/0!</v>
      </c>
      <c r="H19" s="211"/>
      <c r="I19" s="211"/>
      <c r="J19" s="211"/>
      <c r="K19" s="211"/>
      <c r="L19" s="211"/>
      <c r="M19" s="211"/>
      <c r="N19" s="211"/>
      <c r="O19" s="211"/>
      <c r="P19" s="209">
        <f t="shared" si="4"/>
        <v>0</v>
      </c>
      <c r="Q19" s="209">
        <f t="shared" si="0"/>
        <v>0</v>
      </c>
      <c r="R19" s="209">
        <f t="shared" si="1"/>
        <v>0</v>
      </c>
      <c r="S19" s="209">
        <f t="shared" si="2"/>
        <v>0</v>
      </c>
      <c r="T19" s="209">
        <f>+E19*$K$4+(P19+Q19+R19+S19)*$K$3-B19/1000*'[9]【入力ｼｰﾄ②】ｺｰｼﾞｪﾈ方式(導入前)'!$F$7*$K$3</f>
        <v>0</v>
      </c>
      <c r="U19" s="57" t="e">
        <f t="shared" si="5"/>
        <v>#DIV/0!</v>
      </c>
      <c r="V19" s="91" t="e">
        <f t="shared" si="6"/>
        <v>#DIV/0!</v>
      </c>
      <c r="W19" s="47" t="e">
        <f t="shared" si="7"/>
        <v>#DIV/0!</v>
      </c>
      <c r="X19" s="91" t="e">
        <f t="shared" si="8"/>
        <v>#DIV/0!</v>
      </c>
      <c r="Y19" s="91" t="e">
        <f t="shared" si="8"/>
        <v>#DIV/0!</v>
      </c>
      <c r="Z19" s="91" t="e">
        <f t="shared" si="8"/>
        <v>#DIV/0!</v>
      </c>
      <c r="AA19" s="91" t="e">
        <f t="shared" si="8"/>
        <v>#DIV/0!</v>
      </c>
    </row>
    <row r="20" spans="1:27" ht="24.75" customHeight="1">
      <c r="A20" s="47" t="s">
        <v>3</v>
      </c>
      <c r="B20" s="211"/>
      <c r="C20" s="211"/>
      <c r="D20" s="211"/>
      <c r="E20" s="209">
        <f t="shared" si="3"/>
        <v>0</v>
      </c>
      <c r="F20" s="57" t="e">
        <f>+$C20*3600/$B20/'[9]【入力ｼｰﾄ②】ｺｰｼﾞｪﾈ方式(導入前)'!$F$6</f>
        <v>#DIV/0!</v>
      </c>
      <c r="G20" s="57" t="e">
        <f>+$E20*3600/$B20/'[9]【入力ｼｰﾄ②】ｺｰｼﾞｪﾈ方式(導入前)'!$F$6</f>
        <v>#DIV/0!</v>
      </c>
      <c r="H20" s="211"/>
      <c r="I20" s="211"/>
      <c r="J20" s="211"/>
      <c r="K20" s="211"/>
      <c r="L20" s="211"/>
      <c r="M20" s="211"/>
      <c r="N20" s="211"/>
      <c r="O20" s="211"/>
      <c r="P20" s="209">
        <f t="shared" si="4"/>
        <v>0</v>
      </c>
      <c r="Q20" s="209">
        <f t="shared" si="0"/>
        <v>0</v>
      </c>
      <c r="R20" s="209">
        <f t="shared" si="1"/>
        <v>0</v>
      </c>
      <c r="S20" s="209">
        <f t="shared" si="2"/>
        <v>0</v>
      </c>
      <c r="T20" s="209">
        <f>+E20*$K$4+(P20+Q20+R20+S20)*$K$3-B20/1000*'[9]【入力ｼｰﾄ②】ｺｰｼﾞｪﾈ方式(導入前)'!$F$7*$K$3</f>
        <v>0</v>
      </c>
      <c r="U20" s="57" t="e">
        <f t="shared" si="5"/>
        <v>#DIV/0!</v>
      </c>
      <c r="V20" s="91" t="e">
        <f t="shared" si="6"/>
        <v>#DIV/0!</v>
      </c>
      <c r="W20" s="47" t="e">
        <f t="shared" si="7"/>
        <v>#DIV/0!</v>
      </c>
      <c r="X20" s="91" t="e">
        <f t="shared" si="8"/>
        <v>#DIV/0!</v>
      </c>
      <c r="Y20" s="91" t="e">
        <f t="shared" si="8"/>
        <v>#DIV/0!</v>
      </c>
      <c r="Z20" s="91" t="e">
        <f t="shared" si="8"/>
        <v>#DIV/0!</v>
      </c>
      <c r="AA20" s="91" t="e">
        <f t="shared" si="8"/>
        <v>#DIV/0!</v>
      </c>
    </row>
    <row r="21" spans="1:27" ht="24.75" customHeight="1">
      <c r="A21" s="47" t="s">
        <v>4</v>
      </c>
      <c r="B21" s="211"/>
      <c r="C21" s="211"/>
      <c r="D21" s="211"/>
      <c r="E21" s="209">
        <f t="shared" si="3"/>
        <v>0</v>
      </c>
      <c r="F21" s="57" t="e">
        <f>+$C21*3600/$B21/'[9]【入力ｼｰﾄ②】ｺｰｼﾞｪﾈ方式(導入前)'!$F$6</f>
        <v>#DIV/0!</v>
      </c>
      <c r="G21" s="57" t="e">
        <f>+$E21*3600/$B21/'[9]【入力ｼｰﾄ②】ｺｰｼﾞｪﾈ方式(導入前)'!$F$6</f>
        <v>#DIV/0!</v>
      </c>
      <c r="H21" s="211"/>
      <c r="I21" s="211"/>
      <c r="J21" s="211"/>
      <c r="K21" s="211"/>
      <c r="L21" s="211"/>
      <c r="M21" s="211"/>
      <c r="N21" s="211"/>
      <c r="O21" s="211"/>
      <c r="P21" s="209">
        <f t="shared" si="4"/>
        <v>0</v>
      </c>
      <c r="Q21" s="209">
        <f t="shared" si="0"/>
        <v>0</v>
      </c>
      <c r="R21" s="209">
        <f t="shared" si="1"/>
        <v>0</v>
      </c>
      <c r="S21" s="209">
        <f t="shared" si="2"/>
        <v>0</v>
      </c>
      <c r="T21" s="209">
        <f>+E21*$K$4+(P21+Q21+R21+S21)*$K$3-B21/1000*'[9]【入力ｼｰﾄ②】ｺｰｼﾞｪﾈ方式(導入前)'!$F$7*$K$3</f>
        <v>0</v>
      </c>
      <c r="U21" s="57" t="e">
        <f t="shared" si="5"/>
        <v>#DIV/0!</v>
      </c>
      <c r="V21" s="91" t="e">
        <f t="shared" si="6"/>
        <v>#DIV/0!</v>
      </c>
      <c r="W21" s="47" t="e">
        <f t="shared" si="7"/>
        <v>#DIV/0!</v>
      </c>
      <c r="X21" s="91" t="e">
        <f t="shared" si="8"/>
        <v>#DIV/0!</v>
      </c>
      <c r="Y21" s="91" t="e">
        <f t="shared" si="8"/>
        <v>#DIV/0!</v>
      </c>
      <c r="Z21" s="91" t="e">
        <f t="shared" si="8"/>
        <v>#DIV/0!</v>
      </c>
      <c r="AA21" s="91" t="e">
        <f t="shared" si="8"/>
        <v>#DIV/0!</v>
      </c>
    </row>
    <row r="22" spans="1:27" ht="24.75" customHeight="1">
      <c r="A22" s="47" t="s">
        <v>5</v>
      </c>
      <c r="B22" s="211"/>
      <c r="C22" s="211"/>
      <c r="D22" s="211"/>
      <c r="E22" s="209">
        <f t="shared" si="3"/>
        <v>0</v>
      </c>
      <c r="F22" s="57" t="e">
        <f>+$C22*3600/$B22/'[9]【入力ｼｰﾄ②】ｺｰｼﾞｪﾈ方式(導入前)'!$F$6</f>
        <v>#DIV/0!</v>
      </c>
      <c r="G22" s="57" t="e">
        <f>+$E22*3600/$B22/'[9]【入力ｼｰﾄ②】ｺｰｼﾞｪﾈ方式(導入前)'!$F$6</f>
        <v>#DIV/0!</v>
      </c>
      <c r="H22" s="211"/>
      <c r="I22" s="211"/>
      <c r="J22" s="211"/>
      <c r="K22" s="211"/>
      <c r="L22" s="211"/>
      <c r="M22" s="211"/>
      <c r="N22" s="211"/>
      <c r="O22" s="211"/>
      <c r="P22" s="209">
        <f t="shared" si="4"/>
        <v>0</v>
      </c>
      <c r="Q22" s="209">
        <f t="shared" si="0"/>
        <v>0</v>
      </c>
      <c r="R22" s="209">
        <f t="shared" si="1"/>
        <v>0</v>
      </c>
      <c r="S22" s="209">
        <f t="shared" si="2"/>
        <v>0</v>
      </c>
      <c r="T22" s="209">
        <f>+E22*$K$4+(P22+Q22+R22+S22)*$K$3-B22/1000*'[9]【入力ｼｰﾄ②】ｺｰｼﾞｪﾈ方式(導入前)'!$F$7*$K$3</f>
        <v>0</v>
      </c>
      <c r="U22" s="57" t="e">
        <f t="shared" si="5"/>
        <v>#DIV/0!</v>
      </c>
      <c r="V22" s="91" t="e">
        <f t="shared" si="6"/>
        <v>#DIV/0!</v>
      </c>
      <c r="W22" s="47" t="e">
        <f t="shared" si="7"/>
        <v>#DIV/0!</v>
      </c>
      <c r="X22" s="91" t="e">
        <f t="shared" si="8"/>
        <v>#DIV/0!</v>
      </c>
      <c r="Y22" s="91" t="e">
        <f t="shared" si="8"/>
        <v>#DIV/0!</v>
      </c>
      <c r="Z22" s="91" t="e">
        <f t="shared" si="8"/>
        <v>#DIV/0!</v>
      </c>
      <c r="AA22" s="91" t="e">
        <f t="shared" si="8"/>
        <v>#DIV/0!</v>
      </c>
    </row>
    <row r="23" spans="1:27" ht="24.75" customHeight="1">
      <c r="A23" s="47" t="s">
        <v>6</v>
      </c>
      <c r="B23" s="211"/>
      <c r="C23" s="211"/>
      <c r="D23" s="211"/>
      <c r="E23" s="209">
        <f t="shared" si="3"/>
        <v>0</v>
      </c>
      <c r="F23" s="57" t="e">
        <f>+$C23*3600/$B23/'[9]【入力ｼｰﾄ②】ｺｰｼﾞｪﾈ方式(導入前)'!$F$6</f>
        <v>#DIV/0!</v>
      </c>
      <c r="G23" s="57" t="e">
        <f>+$E23*3600/$B23/'[9]【入力ｼｰﾄ②】ｺｰｼﾞｪﾈ方式(導入前)'!$F$6</f>
        <v>#DIV/0!</v>
      </c>
      <c r="H23" s="211"/>
      <c r="I23" s="211"/>
      <c r="J23" s="211"/>
      <c r="K23" s="211"/>
      <c r="L23" s="211"/>
      <c r="M23" s="211"/>
      <c r="N23" s="211"/>
      <c r="O23" s="211"/>
      <c r="P23" s="209">
        <f t="shared" si="4"/>
        <v>0</v>
      </c>
      <c r="Q23" s="209">
        <f t="shared" si="0"/>
        <v>0</v>
      </c>
      <c r="R23" s="209">
        <f t="shared" si="1"/>
        <v>0</v>
      </c>
      <c r="S23" s="209">
        <f t="shared" si="2"/>
        <v>0</v>
      </c>
      <c r="T23" s="209">
        <f>+E23*$K$4+(P23+Q23+R23+S23)*$K$3-B23/1000*'[9]【入力ｼｰﾄ②】ｺｰｼﾞｪﾈ方式(導入前)'!$F$7*$K$3</f>
        <v>0</v>
      </c>
      <c r="U23" s="57" t="e">
        <f t="shared" si="5"/>
        <v>#DIV/0!</v>
      </c>
      <c r="V23" s="91" t="e">
        <f t="shared" si="6"/>
        <v>#DIV/0!</v>
      </c>
      <c r="W23" s="47" t="e">
        <f t="shared" si="7"/>
        <v>#DIV/0!</v>
      </c>
      <c r="X23" s="91" t="e">
        <f t="shared" si="8"/>
        <v>#DIV/0!</v>
      </c>
      <c r="Y23" s="91" t="e">
        <f t="shared" si="8"/>
        <v>#DIV/0!</v>
      </c>
      <c r="Z23" s="91" t="e">
        <f t="shared" si="8"/>
        <v>#DIV/0!</v>
      </c>
      <c r="AA23" s="91" t="e">
        <f t="shared" si="8"/>
        <v>#DIV/0!</v>
      </c>
    </row>
    <row r="24" spans="1:27" s="59" customFormat="1" ht="24.75" customHeight="1">
      <c r="A24" s="58" t="s">
        <v>14</v>
      </c>
      <c r="B24" s="209">
        <f>SUM(B12:B23)</f>
        <v>75000</v>
      </c>
      <c r="C24" s="209">
        <f>SUM(C12:C23)</f>
        <v>300</v>
      </c>
      <c r="D24" s="209">
        <f>SUM(D12:D23)</f>
        <v>12</v>
      </c>
      <c r="E24" s="209">
        <f>SUM(E12:E23)</f>
        <v>288</v>
      </c>
      <c r="F24" s="57">
        <f>+$C24*3600/$B24/'[9]【入力ｼｰﾄ②】ｺｰｼﾞｪﾈ方式(導入前)'!$F$6</f>
        <v>0.35467980295566504</v>
      </c>
      <c r="G24" s="57">
        <f>+$E24*3600/$B24/'[9]【入力ｼｰﾄ②】ｺｰｼﾞｪﾈ方式(導入前)'!$F$6</f>
        <v>0.3404926108374384</v>
      </c>
      <c r="H24" s="209">
        <f>SUM(H12:H23)</f>
        <v>300</v>
      </c>
      <c r="I24" s="209">
        <f aca="true" t="shared" si="9" ref="I24:S24">SUM(I12:I23)</f>
        <v>450</v>
      </c>
      <c r="J24" s="209">
        <f t="shared" si="9"/>
        <v>720</v>
      </c>
      <c r="K24" s="209">
        <f t="shared" si="9"/>
        <v>0</v>
      </c>
      <c r="L24" s="209">
        <f t="shared" si="9"/>
        <v>450</v>
      </c>
      <c r="M24" s="209">
        <f t="shared" si="9"/>
        <v>400</v>
      </c>
      <c r="N24" s="209">
        <f t="shared" si="9"/>
        <v>0</v>
      </c>
      <c r="O24" s="209">
        <f t="shared" si="9"/>
        <v>0</v>
      </c>
      <c r="P24" s="209">
        <f t="shared" si="9"/>
        <v>550</v>
      </c>
      <c r="Q24" s="209">
        <f t="shared" si="9"/>
        <v>517.6470588235294</v>
      </c>
      <c r="R24" s="209">
        <f t="shared" si="9"/>
        <v>0</v>
      </c>
      <c r="S24" s="209">
        <f t="shared" si="9"/>
        <v>0</v>
      </c>
      <c r="T24" s="209">
        <f>+E24*$K$4+(P24+Q24+R24+S24)*$K$3-B24/1000*'[9]【入力ｼｰﾄ②】ｺｰｼﾞｪﾈ方式(導入前)'!$F$7*$K$3</f>
        <v>13.04629411764705</v>
      </c>
      <c r="U24" s="57">
        <f>+T24/((P24+Q24+R24+S24)*$K$3+$E24*$K$4)</f>
        <v>0.13030488901109352</v>
      </c>
      <c r="V24" s="91">
        <f t="shared" si="6"/>
        <v>250</v>
      </c>
      <c r="W24" s="47">
        <f t="shared" si="7"/>
        <v>1000</v>
      </c>
      <c r="X24" s="91">
        <f t="shared" si="8"/>
        <v>1500</v>
      </c>
      <c r="Y24" s="91">
        <f t="shared" si="8"/>
        <v>1333.3333333333333</v>
      </c>
      <c r="Z24" s="91">
        <f t="shared" si="8"/>
        <v>0</v>
      </c>
      <c r="AA24" s="91">
        <f t="shared" si="8"/>
        <v>0</v>
      </c>
    </row>
    <row r="25" spans="10:11" ht="24.75" customHeight="1">
      <c r="J25" s="408" t="s">
        <v>299</v>
      </c>
      <c r="K25" s="408"/>
    </row>
    <row r="26" spans="10:15" ht="24.75" customHeight="1">
      <c r="J26" s="310" t="s">
        <v>7</v>
      </c>
      <c r="K26" s="310"/>
      <c r="L26" s="310" t="s">
        <v>300</v>
      </c>
      <c r="M26" s="310"/>
      <c r="N26" s="310" t="s">
        <v>301</v>
      </c>
      <c r="O26" s="310"/>
    </row>
    <row r="27" spans="10:15" ht="24.75" customHeight="1">
      <c r="J27" s="310" t="s">
        <v>308</v>
      </c>
      <c r="K27" s="310"/>
      <c r="L27" s="310" t="s">
        <v>309</v>
      </c>
      <c r="M27" s="310"/>
      <c r="N27" s="310" t="s">
        <v>310</v>
      </c>
      <c r="O27" s="310"/>
    </row>
    <row r="28" spans="10:15" ht="24.75" customHeight="1">
      <c r="J28" s="406">
        <v>75000</v>
      </c>
      <c r="K28" s="406"/>
      <c r="L28" s="406">
        <v>0</v>
      </c>
      <c r="M28" s="406"/>
      <c r="N28" s="407">
        <f>IF(L28="-",0,J28*(273/(273+L28)))</f>
        <v>75000</v>
      </c>
      <c r="O28" s="407"/>
    </row>
  </sheetData>
  <sheetProtection/>
  <mergeCells count="16">
    <mergeCell ref="C1:E1"/>
    <mergeCell ref="L9:O9"/>
    <mergeCell ref="P9:S9"/>
    <mergeCell ref="T9:T10"/>
    <mergeCell ref="U9:U10"/>
    <mergeCell ref="A10:A11"/>
    <mergeCell ref="J28:K28"/>
    <mergeCell ref="L28:M28"/>
    <mergeCell ref="N28:O28"/>
    <mergeCell ref="J25:K25"/>
    <mergeCell ref="J26:K26"/>
    <mergeCell ref="L26:M26"/>
    <mergeCell ref="N26:O26"/>
    <mergeCell ref="J27:K27"/>
    <mergeCell ref="L27:M27"/>
    <mergeCell ref="N27:O2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AR52"/>
  <sheetViews>
    <sheetView zoomScalePageLayoutView="0" workbookViewId="0" topLeftCell="A1">
      <selection activeCell="AX8" sqref="AX8"/>
    </sheetView>
  </sheetViews>
  <sheetFormatPr defaultColWidth="9.00390625" defaultRowHeight="13.5"/>
  <cols>
    <col min="1" max="44" width="2.00390625" style="114" customWidth="1"/>
    <col min="45" max="16384" width="9.00390625" style="114" customWidth="1"/>
  </cols>
  <sheetData>
    <row r="1" ht="13.5">
      <c r="A1" s="114" t="s">
        <v>262</v>
      </c>
    </row>
    <row r="3" spans="1:44" ht="13.5">
      <c r="A3" s="254" t="s">
        <v>203</v>
      </c>
      <c r="B3" s="255"/>
      <c r="C3" s="255"/>
      <c r="D3" s="255"/>
      <c r="E3" s="255"/>
      <c r="F3" s="255"/>
      <c r="G3" s="255"/>
      <c r="H3" s="255"/>
      <c r="I3" s="255"/>
      <c r="J3" s="255"/>
      <c r="K3" s="255"/>
      <c r="L3" s="255"/>
      <c r="M3" s="255"/>
      <c r="N3" s="255"/>
      <c r="O3" s="255"/>
      <c r="P3" s="255"/>
      <c r="Q3" s="255"/>
      <c r="R3" s="256"/>
      <c r="AC3" s="125"/>
      <c r="AD3" s="126"/>
      <c r="AE3" s="126"/>
      <c r="AF3" s="126"/>
      <c r="AG3" s="126"/>
      <c r="AH3" s="126"/>
      <c r="AI3" s="126"/>
      <c r="AJ3" s="126"/>
      <c r="AK3" s="126"/>
      <c r="AL3" s="126"/>
      <c r="AM3" s="126"/>
      <c r="AN3" s="126"/>
      <c r="AO3" s="126"/>
      <c r="AP3" s="126"/>
      <c r="AQ3" s="126"/>
      <c r="AR3" s="126"/>
    </row>
    <row r="4" spans="1:44" ht="13.5">
      <c r="A4" s="258"/>
      <c r="B4" s="259"/>
      <c r="C4" s="260"/>
      <c r="D4" s="260"/>
      <c r="E4" s="260"/>
      <c r="F4" s="260"/>
      <c r="G4" s="260"/>
      <c r="H4" s="260"/>
      <c r="I4" s="260"/>
      <c r="J4" s="260"/>
      <c r="K4" s="261"/>
      <c r="L4" s="259"/>
      <c r="M4" s="240"/>
      <c r="N4" s="241"/>
      <c r="O4" s="240"/>
      <c r="P4" s="283"/>
      <c r="Q4" s="241"/>
      <c r="R4" s="263"/>
      <c r="AC4" s="122"/>
      <c r="AD4" s="122"/>
      <c r="AE4" s="122"/>
      <c r="AF4" s="122"/>
      <c r="AG4" s="122"/>
      <c r="AH4" s="122"/>
      <c r="AI4" s="122"/>
      <c r="AJ4" s="122"/>
      <c r="AK4" s="122"/>
      <c r="AL4" s="122"/>
      <c r="AM4" s="122"/>
      <c r="AN4" s="122"/>
      <c r="AO4" s="122"/>
      <c r="AP4" s="122"/>
      <c r="AQ4" s="122"/>
      <c r="AR4" s="122"/>
    </row>
    <row r="5" spans="1:44" ht="13.5">
      <c r="A5" s="229"/>
      <c r="B5" s="230"/>
      <c r="C5" s="231"/>
      <c r="D5" s="231"/>
      <c r="E5" s="231"/>
      <c r="F5" s="231"/>
      <c r="G5" s="231"/>
      <c r="H5" s="231"/>
      <c r="I5" s="231"/>
      <c r="J5" s="231"/>
      <c r="K5" s="262"/>
      <c r="L5" s="230"/>
      <c r="M5" s="242"/>
      <c r="N5" s="243"/>
      <c r="O5" s="242"/>
      <c r="P5" s="246"/>
      <c r="Q5" s="243"/>
      <c r="R5" s="261"/>
      <c r="AC5" s="122"/>
      <c r="AD5" s="122"/>
      <c r="AE5" s="122"/>
      <c r="AF5" s="122"/>
      <c r="AG5" s="122"/>
      <c r="AH5" s="122"/>
      <c r="AI5" s="122"/>
      <c r="AJ5" s="122"/>
      <c r="AK5" s="122"/>
      <c r="AL5" s="122"/>
      <c r="AM5" s="122"/>
      <c r="AN5" s="122"/>
      <c r="AO5" s="122"/>
      <c r="AP5" s="122"/>
      <c r="AQ5" s="122"/>
      <c r="AR5" s="122"/>
    </row>
    <row r="8" spans="1:44" s="92" customFormat="1" ht="19.5" customHeight="1">
      <c r="A8" s="239" t="s">
        <v>260</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row>
    <row r="9" spans="1:44" s="92" customFormat="1" ht="19.5" customHeight="1">
      <c r="A9" s="247" t="s">
        <v>261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92" customFormat="1" ht="19.5" customHeight="1">
      <c r="A10" s="264" t="s">
        <v>244</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row>
    <row r="13" spans="3:44" ht="13.5">
      <c r="C13" s="127"/>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row>
    <row r="15" ht="15.75" customHeight="1">
      <c r="A15" s="114" t="s">
        <v>222</v>
      </c>
    </row>
    <row r="16" spans="1:44" ht="15" customHeight="1">
      <c r="A16" s="280" t="s">
        <v>223</v>
      </c>
      <c r="B16" s="213"/>
      <c r="C16" s="213"/>
      <c r="D16" s="213"/>
      <c r="E16" s="213"/>
      <c r="F16" s="213"/>
      <c r="G16" s="213"/>
      <c r="H16" s="213"/>
      <c r="I16" s="213"/>
      <c r="J16" s="213"/>
      <c r="K16" s="213"/>
      <c r="L16" s="213"/>
      <c r="M16" s="213"/>
      <c r="N16" s="213"/>
      <c r="O16" s="213"/>
      <c r="P16" s="213"/>
      <c r="Q16" s="266">
        <f>'計測データ'!R3</f>
        <v>0</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81" t="s">
        <v>224</v>
      </c>
      <c r="AP16" s="281"/>
      <c r="AQ16" s="281"/>
      <c r="AR16" s="121"/>
    </row>
    <row r="17" spans="1:44" ht="15" customHeight="1">
      <c r="A17" s="213"/>
      <c r="B17" s="213"/>
      <c r="C17" s="213"/>
      <c r="D17" s="213"/>
      <c r="E17" s="213"/>
      <c r="F17" s="213"/>
      <c r="G17" s="213"/>
      <c r="H17" s="213"/>
      <c r="I17" s="213"/>
      <c r="J17" s="213"/>
      <c r="K17" s="213"/>
      <c r="L17" s="213"/>
      <c r="M17" s="213"/>
      <c r="N17" s="213"/>
      <c r="O17" s="213"/>
      <c r="P17" s="213"/>
      <c r="Q17" s="268"/>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82"/>
      <c r="AP17" s="282"/>
      <c r="AQ17" s="282"/>
      <c r="AR17" s="116"/>
    </row>
    <row r="18" spans="1:44" ht="15" customHeight="1">
      <c r="A18" s="280" t="s">
        <v>225</v>
      </c>
      <c r="B18" s="213"/>
      <c r="C18" s="213"/>
      <c r="D18" s="213"/>
      <c r="E18" s="213"/>
      <c r="F18" s="213"/>
      <c r="G18" s="213"/>
      <c r="H18" s="213"/>
      <c r="I18" s="213"/>
      <c r="J18" s="213"/>
      <c r="K18" s="213"/>
      <c r="L18" s="213"/>
      <c r="M18" s="213"/>
      <c r="N18" s="213"/>
      <c r="O18" s="213"/>
      <c r="P18" s="213"/>
      <c r="Q18" s="266">
        <f>'計測データ'!R4</f>
        <v>0</v>
      </c>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75" t="s">
        <v>226</v>
      </c>
      <c r="AP18" s="275"/>
      <c r="AQ18" s="275"/>
      <c r="AR18" s="121"/>
    </row>
    <row r="19" spans="1:44" ht="15" customHeight="1">
      <c r="A19" s="213"/>
      <c r="B19" s="213"/>
      <c r="C19" s="213"/>
      <c r="D19" s="213"/>
      <c r="E19" s="213"/>
      <c r="F19" s="213"/>
      <c r="G19" s="213"/>
      <c r="H19" s="213"/>
      <c r="I19" s="213"/>
      <c r="J19" s="213"/>
      <c r="K19" s="213"/>
      <c r="L19" s="213"/>
      <c r="M19" s="213"/>
      <c r="N19" s="213"/>
      <c r="O19" s="213"/>
      <c r="P19" s="213"/>
      <c r="Q19" s="268"/>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76"/>
      <c r="AP19" s="276"/>
      <c r="AQ19" s="276"/>
      <c r="AR19" s="116"/>
    </row>
    <row r="20" ht="13.5">
      <c r="A20" s="124" t="s">
        <v>227</v>
      </c>
    </row>
    <row r="21" ht="13.5">
      <c r="A21" s="124" t="s">
        <v>228</v>
      </c>
    </row>
    <row r="22" ht="13.5">
      <c r="A22" s="124" t="s">
        <v>229</v>
      </c>
    </row>
    <row r="24" ht="15.75" customHeight="1">
      <c r="A24" s="114" t="s">
        <v>230</v>
      </c>
    </row>
    <row r="25" spans="1:44" ht="13.5">
      <c r="A25" s="265" t="s">
        <v>231</v>
      </c>
      <c r="B25" s="265"/>
      <c r="C25" s="265"/>
      <c r="D25" s="265"/>
      <c r="E25" s="265"/>
      <c r="F25" s="265"/>
      <c r="G25" s="265"/>
      <c r="H25" s="265"/>
      <c r="I25" s="265"/>
      <c r="J25" s="265"/>
      <c r="K25" s="265"/>
      <c r="L25" s="265"/>
      <c r="M25" s="265"/>
      <c r="N25" s="265"/>
      <c r="O25" s="265"/>
      <c r="P25" s="265"/>
      <c r="Q25" s="271">
        <f>'計測データ'!B24</f>
        <v>450000</v>
      </c>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5" t="s">
        <v>232</v>
      </c>
      <c r="AP25" s="275"/>
      <c r="AQ25" s="275"/>
      <c r="AR25" s="121"/>
    </row>
    <row r="26" spans="1:44" ht="13.5">
      <c r="A26" s="265"/>
      <c r="B26" s="265"/>
      <c r="C26" s="265"/>
      <c r="D26" s="265"/>
      <c r="E26" s="265"/>
      <c r="F26" s="265"/>
      <c r="G26" s="265"/>
      <c r="H26" s="265"/>
      <c r="I26" s="265"/>
      <c r="J26" s="265"/>
      <c r="K26" s="265"/>
      <c r="L26" s="265"/>
      <c r="M26" s="265"/>
      <c r="N26" s="265"/>
      <c r="O26" s="265"/>
      <c r="P26" s="265"/>
      <c r="Q26" s="273"/>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6"/>
      <c r="AP26" s="276"/>
      <c r="AQ26" s="276"/>
      <c r="AR26" s="116"/>
    </row>
    <row r="27" spans="1:44" ht="13.5">
      <c r="A27" s="265" t="s">
        <v>233</v>
      </c>
      <c r="B27" s="265"/>
      <c r="C27" s="265"/>
      <c r="D27" s="265"/>
      <c r="E27" s="265"/>
      <c r="F27" s="265"/>
      <c r="G27" s="265"/>
      <c r="H27" s="265"/>
      <c r="I27" s="265"/>
      <c r="J27" s="265"/>
      <c r="K27" s="265"/>
      <c r="L27" s="265"/>
      <c r="M27" s="265"/>
      <c r="N27" s="265"/>
      <c r="O27" s="265"/>
      <c r="P27" s="265"/>
      <c r="Q27" s="271">
        <f>'結果シート'!C18</f>
        <v>0</v>
      </c>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8" t="s">
        <v>234</v>
      </c>
      <c r="AP27" s="278"/>
      <c r="AQ27" s="278"/>
      <c r="AR27" s="123"/>
    </row>
    <row r="28" spans="1:44" ht="13.5">
      <c r="A28" s="265"/>
      <c r="B28" s="265"/>
      <c r="C28" s="265"/>
      <c r="D28" s="265"/>
      <c r="E28" s="265"/>
      <c r="F28" s="265"/>
      <c r="G28" s="265"/>
      <c r="H28" s="265"/>
      <c r="I28" s="265"/>
      <c r="J28" s="265"/>
      <c r="K28" s="265"/>
      <c r="L28" s="265"/>
      <c r="M28" s="265"/>
      <c r="N28" s="265"/>
      <c r="O28" s="265"/>
      <c r="P28" s="265"/>
      <c r="Q28" s="273"/>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8"/>
      <c r="AP28" s="278"/>
      <c r="AQ28" s="278"/>
      <c r="AR28" s="123"/>
    </row>
    <row r="29" spans="1:44" ht="13.5">
      <c r="A29" s="265" t="s">
        <v>235</v>
      </c>
      <c r="B29" s="265"/>
      <c r="C29" s="265"/>
      <c r="D29" s="265"/>
      <c r="E29" s="265"/>
      <c r="F29" s="265"/>
      <c r="G29" s="265"/>
      <c r="H29" s="265"/>
      <c r="I29" s="265"/>
      <c r="J29" s="265"/>
      <c r="K29" s="265"/>
      <c r="L29" s="265"/>
      <c r="M29" s="265"/>
      <c r="N29" s="265"/>
      <c r="O29" s="265"/>
      <c r="P29" s="265"/>
      <c r="Q29" s="271">
        <f>'結果シート'!C15</f>
        <v>1728</v>
      </c>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8" t="s">
        <v>234</v>
      </c>
      <c r="AP29" s="278"/>
      <c r="AQ29" s="278"/>
      <c r="AR29" s="121"/>
    </row>
    <row r="30" spans="1:44" ht="13.5">
      <c r="A30" s="265"/>
      <c r="B30" s="265"/>
      <c r="C30" s="265"/>
      <c r="D30" s="265"/>
      <c r="E30" s="265"/>
      <c r="F30" s="265"/>
      <c r="G30" s="265"/>
      <c r="H30" s="265"/>
      <c r="I30" s="265"/>
      <c r="J30" s="265"/>
      <c r="K30" s="265"/>
      <c r="L30" s="265"/>
      <c r="M30" s="265"/>
      <c r="N30" s="265"/>
      <c r="O30" s="265"/>
      <c r="P30" s="265"/>
      <c r="Q30" s="273"/>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8"/>
      <c r="AP30" s="278"/>
      <c r="AQ30" s="278"/>
      <c r="AR30" s="116"/>
    </row>
    <row r="31" spans="1:44" ht="13.5">
      <c r="A31" s="279" t="s">
        <v>236</v>
      </c>
      <c r="B31" s="265"/>
      <c r="C31" s="265"/>
      <c r="D31" s="265"/>
      <c r="E31" s="265"/>
      <c r="F31" s="265"/>
      <c r="G31" s="265"/>
      <c r="H31" s="265"/>
      <c r="I31" s="265"/>
      <c r="J31" s="265"/>
      <c r="K31" s="265"/>
      <c r="L31" s="265"/>
      <c r="M31" s="265"/>
      <c r="N31" s="265"/>
      <c r="O31" s="265"/>
      <c r="P31" s="265"/>
      <c r="Q31" s="266">
        <f>'結果シート'!E16</f>
        <v>600.7277647058824</v>
      </c>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70" t="s">
        <v>224</v>
      </c>
      <c r="AP31" s="270"/>
      <c r="AQ31" s="270"/>
      <c r="AR31" s="123"/>
    </row>
    <row r="32" spans="1:44" ht="13.5">
      <c r="A32" s="265"/>
      <c r="B32" s="265"/>
      <c r="C32" s="265"/>
      <c r="D32" s="265"/>
      <c r="E32" s="265"/>
      <c r="F32" s="265"/>
      <c r="G32" s="265"/>
      <c r="H32" s="265"/>
      <c r="I32" s="265"/>
      <c r="J32" s="265"/>
      <c r="K32" s="265"/>
      <c r="L32" s="265"/>
      <c r="M32" s="265"/>
      <c r="N32" s="265"/>
      <c r="O32" s="265"/>
      <c r="P32" s="265"/>
      <c r="Q32" s="268"/>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70"/>
      <c r="AP32" s="270"/>
      <c r="AQ32" s="270"/>
      <c r="AR32" s="123"/>
    </row>
    <row r="33" spans="1:44" ht="13.5">
      <c r="A33" s="265" t="s">
        <v>237</v>
      </c>
      <c r="B33" s="265"/>
      <c r="C33" s="265"/>
      <c r="D33" s="265"/>
      <c r="E33" s="265"/>
      <c r="F33" s="265"/>
      <c r="G33" s="265"/>
      <c r="H33" s="265"/>
      <c r="I33" s="265"/>
      <c r="J33" s="265"/>
      <c r="K33" s="265"/>
      <c r="L33" s="265"/>
      <c r="M33" s="265"/>
      <c r="N33" s="265"/>
      <c r="O33" s="265"/>
      <c r="P33" s="265"/>
      <c r="Q33" s="266">
        <f>'結果シート'!C20</f>
        <v>78.2777647058823</v>
      </c>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70" t="s">
        <v>224</v>
      </c>
      <c r="AP33" s="270"/>
      <c r="AQ33" s="270"/>
      <c r="AR33" s="121"/>
    </row>
    <row r="34" spans="1:44" ht="13.5">
      <c r="A34" s="265"/>
      <c r="B34" s="265"/>
      <c r="C34" s="265"/>
      <c r="D34" s="265"/>
      <c r="E34" s="265"/>
      <c r="F34" s="265"/>
      <c r="G34" s="265"/>
      <c r="H34" s="265"/>
      <c r="I34" s="265"/>
      <c r="J34" s="265"/>
      <c r="K34" s="265"/>
      <c r="L34" s="265"/>
      <c r="M34" s="265"/>
      <c r="N34" s="265"/>
      <c r="O34" s="265"/>
      <c r="P34" s="265"/>
      <c r="Q34" s="268"/>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70"/>
      <c r="AP34" s="270"/>
      <c r="AQ34" s="270"/>
      <c r="AR34" s="116"/>
    </row>
    <row r="35" spans="1:44" ht="13.5">
      <c r="A35" s="265" t="s">
        <v>238</v>
      </c>
      <c r="B35" s="265"/>
      <c r="C35" s="265"/>
      <c r="D35" s="265"/>
      <c r="E35" s="265"/>
      <c r="F35" s="265"/>
      <c r="G35" s="265"/>
      <c r="H35" s="265"/>
      <c r="I35" s="265"/>
      <c r="J35" s="265"/>
      <c r="K35" s="265"/>
      <c r="L35" s="265"/>
      <c r="M35" s="265"/>
      <c r="N35" s="265"/>
      <c r="O35" s="265"/>
      <c r="P35" s="265"/>
      <c r="Q35" s="266">
        <f>'結果シート'!C21</f>
        <v>13.030488901109353</v>
      </c>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77" t="s">
        <v>226</v>
      </c>
      <c r="AP35" s="277"/>
      <c r="AQ35" s="277"/>
      <c r="AR35" s="123"/>
    </row>
    <row r="36" spans="1:44" ht="13.5">
      <c r="A36" s="265"/>
      <c r="B36" s="265"/>
      <c r="C36" s="265"/>
      <c r="D36" s="265"/>
      <c r="E36" s="265"/>
      <c r="F36" s="265"/>
      <c r="G36" s="265"/>
      <c r="H36" s="265"/>
      <c r="I36" s="265"/>
      <c r="J36" s="265"/>
      <c r="K36" s="265"/>
      <c r="L36" s="265"/>
      <c r="M36" s="265"/>
      <c r="N36" s="265"/>
      <c r="O36" s="265"/>
      <c r="P36" s="265"/>
      <c r="Q36" s="268"/>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76"/>
      <c r="AP36" s="276"/>
      <c r="AQ36" s="276"/>
      <c r="AR36" s="116"/>
    </row>
    <row r="37" s="92" customFormat="1" ht="13.5">
      <c r="A37" s="128" t="s">
        <v>239</v>
      </c>
    </row>
    <row r="38" s="92" customFormat="1" ht="13.5">
      <c r="A38" s="128" t="s">
        <v>245</v>
      </c>
    </row>
    <row r="39" s="92" customFormat="1" ht="13.5">
      <c r="A39" s="128" t="s">
        <v>246</v>
      </c>
    </row>
    <row r="40" s="92" customFormat="1" ht="13.5">
      <c r="A40" s="128" t="s">
        <v>247</v>
      </c>
    </row>
    <row r="41" s="92" customFormat="1" ht="13.5">
      <c r="A41" s="128" t="s">
        <v>240</v>
      </c>
    </row>
    <row r="42" s="92" customFormat="1" ht="13.5">
      <c r="A42" s="128" t="s">
        <v>248</v>
      </c>
    </row>
    <row r="43" s="92" customFormat="1" ht="13.5">
      <c r="A43" s="128" t="s">
        <v>241</v>
      </c>
    </row>
    <row r="44" s="92" customFormat="1" ht="13.5">
      <c r="A44" s="128" t="s">
        <v>249</v>
      </c>
    </row>
    <row r="45" s="92" customFormat="1" ht="13.5">
      <c r="A45" s="128" t="s">
        <v>250</v>
      </c>
    </row>
    <row r="46" s="92" customFormat="1" ht="13.5">
      <c r="A46" s="128" t="s">
        <v>251</v>
      </c>
    </row>
    <row r="47" s="92" customFormat="1" ht="13.5">
      <c r="A47" s="128" t="s">
        <v>242</v>
      </c>
    </row>
    <row r="48" s="92" customFormat="1" ht="13.5">
      <c r="A48" s="128" t="s">
        <v>252</v>
      </c>
    </row>
    <row r="49" s="92" customFormat="1" ht="13.5">
      <c r="A49" s="128" t="s">
        <v>253</v>
      </c>
    </row>
    <row r="50" s="92" customFormat="1" ht="13.5">
      <c r="A50" s="128" t="s">
        <v>254</v>
      </c>
    </row>
    <row r="51" ht="13.5">
      <c r="A51" s="124"/>
    </row>
    <row r="52" ht="13.5">
      <c r="A52" s="124"/>
    </row>
  </sheetData>
  <sheetProtection/>
  <mergeCells count="37">
    <mergeCell ref="A3:R3"/>
    <mergeCell ref="A4:B5"/>
    <mergeCell ref="C4:D5"/>
    <mergeCell ref="E4:F5"/>
    <mergeCell ref="G4:H5"/>
    <mergeCell ref="I4:J5"/>
    <mergeCell ref="K4:L5"/>
    <mergeCell ref="M4:N5"/>
    <mergeCell ref="O4:P5"/>
    <mergeCell ref="Q4:R5"/>
    <mergeCell ref="Q27:AN28"/>
    <mergeCell ref="AO27:AQ28"/>
    <mergeCell ref="A16:P17"/>
    <mergeCell ref="Q16:AN17"/>
    <mergeCell ref="AO16:AQ17"/>
    <mergeCell ref="A18:P19"/>
    <mergeCell ref="Q18:AN19"/>
    <mergeCell ref="AO18:AQ19"/>
    <mergeCell ref="A35:P36"/>
    <mergeCell ref="Q35:AN36"/>
    <mergeCell ref="AO35:AQ36"/>
    <mergeCell ref="A29:P30"/>
    <mergeCell ref="Q29:AN30"/>
    <mergeCell ref="AO29:AQ30"/>
    <mergeCell ref="A31:P32"/>
    <mergeCell ref="Q31:AN32"/>
    <mergeCell ref="AO31:AQ32"/>
    <mergeCell ref="A8:AR8"/>
    <mergeCell ref="A9:AR9"/>
    <mergeCell ref="A10:AR10"/>
    <mergeCell ref="A33:P34"/>
    <mergeCell ref="Q33:AN34"/>
    <mergeCell ref="AO33:AQ34"/>
    <mergeCell ref="A25:P26"/>
    <mergeCell ref="Q25:AN26"/>
    <mergeCell ref="AO25:AQ26"/>
    <mergeCell ref="A27:P28"/>
  </mergeCells>
  <dataValidations count="2">
    <dataValidation allowBlank="1" showInputMessage="1" showErrorMessage="1" imeMode="halfAlpha" sqref="AK4:AR5"/>
    <dataValidation type="whole" operator="equal" allowBlank="1" showInputMessage="1" showErrorMessage="1" imeMode="halfAlpha" sqref="AG4:AJ5">
      <formula1>23</formula1>
    </dataValidation>
  </dataValidations>
  <printOptions horizontalCentered="1"/>
  <pageMargins left="0.5118110236220472" right="0.4724409448818898" top="0.5905511811023623" bottom="0.3937007874015748" header="0.5118110236220472"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G31"/>
  <sheetViews>
    <sheetView zoomScalePageLayoutView="0" workbookViewId="0" topLeftCell="A1">
      <selection activeCell="K5" sqref="K5"/>
    </sheetView>
  </sheetViews>
  <sheetFormatPr defaultColWidth="9.00390625" defaultRowHeight="19.5" customHeight="1"/>
  <cols>
    <col min="1" max="1" width="20.625" style="93" customWidth="1"/>
    <col min="2" max="2" width="15.625" style="93" customWidth="1"/>
    <col min="3" max="3" width="12.625" style="93" customWidth="1"/>
    <col min="4" max="4" width="14.125" style="93" customWidth="1"/>
    <col min="5" max="6" width="12.625" style="93" customWidth="1"/>
    <col min="7" max="7" width="21.625" style="93" customWidth="1"/>
    <col min="8" max="16384" width="9.00390625" style="93" customWidth="1"/>
  </cols>
  <sheetData>
    <row r="1" ht="19.5" customHeight="1">
      <c r="A1" s="92"/>
    </row>
    <row r="2" ht="19.5" customHeight="1">
      <c r="A2" s="94" t="s">
        <v>313</v>
      </c>
    </row>
    <row r="3" ht="19.5" customHeight="1">
      <c r="A3" s="94" t="s">
        <v>158</v>
      </c>
    </row>
    <row r="4" ht="19.5" customHeight="1">
      <c r="A4" s="93" t="s">
        <v>159</v>
      </c>
    </row>
    <row r="6" ht="19.5" customHeight="1">
      <c r="G6" s="95" t="s">
        <v>160</v>
      </c>
    </row>
    <row r="7" spans="3:7" ht="19.5" customHeight="1">
      <c r="C7" s="96"/>
      <c r="D7" s="97" t="s">
        <v>124</v>
      </c>
      <c r="E7" s="98">
        <f>'計測データ'!G3</f>
        <v>1000</v>
      </c>
      <c r="F7" s="97" t="s">
        <v>161</v>
      </c>
      <c r="G7" s="99" t="s">
        <v>162</v>
      </c>
    </row>
    <row r="8" spans="3:7" ht="19.5" customHeight="1">
      <c r="C8" s="100" t="s">
        <v>163</v>
      </c>
      <c r="D8" s="97" t="s">
        <v>164</v>
      </c>
      <c r="E8" s="101">
        <f>C15</f>
        <v>1728</v>
      </c>
      <c r="F8" s="97" t="s">
        <v>156</v>
      </c>
      <c r="G8" s="102"/>
    </row>
    <row r="9" spans="3:7" ht="19.5" customHeight="1">
      <c r="C9" s="100" t="s">
        <v>165</v>
      </c>
      <c r="D9" s="97" t="s">
        <v>166</v>
      </c>
      <c r="E9" s="101">
        <f>C14</f>
        <v>6405.882352941177</v>
      </c>
      <c r="F9" s="97" t="s">
        <v>106</v>
      </c>
      <c r="G9" s="102"/>
    </row>
    <row r="10" spans="3:7" ht="19.5" customHeight="1">
      <c r="C10" s="100"/>
      <c r="D10" s="103" t="s">
        <v>167</v>
      </c>
      <c r="E10" s="104">
        <f>'計測データ'!R24</f>
        <v>0</v>
      </c>
      <c r="F10" s="97" t="s">
        <v>168</v>
      </c>
      <c r="G10" s="102"/>
    </row>
    <row r="11" spans="3:7" ht="19.5" customHeight="1">
      <c r="C11" s="100"/>
      <c r="D11" s="103" t="s">
        <v>169</v>
      </c>
      <c r="E11" s="104">
        <f>E9-E10</f>
        <v>6405.882352941177</v>
      </c>
      <c r="F11" s="97" t="s">
        <v>168</v>
      </c>
      <c r="G11" s="105"/>
    </row>
    <row r="12" spans="1:7" ht="19.5" customHeight="1">
      <c r="A12" s="300"/>
      <c r="B12" s="301"/>
      <c r="C12" s="304" t="s">
        <v>170</v>
      </c>
      <c r="D12" s="305"/>
      <c r="E12" s="305"/>
      <c r="F12" s="306"/>
      <c r="G12" s="99"/>
    </row>
    <row r="13" spans="1:7" ht="19.5" customHeight="1">
      <c r="A13" s="302"/>
      <c r="B13" s="303"/>
      <c r="C13" s="304" t="s">
        <v>171</v>
      </c>
      <c r="D13" s="306"/>
      <c r="E13" s="304" t="s">
        <v>172</v>
      </c>
      <c r="F13" s="306"/>
      <c r="G13" s="105"/>
    </row>
    <row r="14" spans="1:7" ht="19.5" customHeight="1">
      <c r="A14" s="295" t="s">
        <v>115</v>
      </c>
      <c r="B14" s="106" t="s">
        <v>173</v>
      </c>
      <c r="C14" s="101">
        <f>SUM('計測データ'!P24:S24)</f>
        <v>6405.882352941177</v>
      </c>
      <c r="D14" s="97" t="s">
        <v>106</v>
      </c>
      <c r="E14" s="107">
        <f>C14*'計測データ'!K3</f>
        <v>165.27176470588236</v>
      </c>
      <c r="F14" s="108" t="s">
        <v>123</v>
      </c>
      <c r="G14" s="99" t="s">
        <v>174</v>
      </c>
    </row>
    <row r="15" spans="1:7" ht="19.5" customHeight="1">
      <c r="A15" s="291"/>
      <c r="B15" s="106" t="s">
        <v>175</v>
      </c>
      <c r="C15" s="101">
        <f>'計測データ'!E24</f>
        <v>1728</v>
      </c>
      <c r="D15" s="97" t="s">
        <v>156</v>
      </c>
      <c r="E15" s="109">
        <f>C15*'計測データ'!K4</f>
        <v>435.456</v>
      </c>
      <c r="F15" s="97" t="s">
        <v>123</v>
      </c>
      <c r="G15" s="102" t="s">
        <v>176</v>
      </c>
    </row>
    <row r="16" spans="1:7" ht="19.5" customHeight="1">
      <c r="A16" s="292"/>
      <c r="B16" s="106" t="s">
        <v>177</v>
      </c>
      <c r="C16" s="293"/>
      <c r="D16" s="294"/>
      <c r="E16" s="101">
        <f>+E14+E15</f>
        <v>600.7277647058824</v>
      </c>
      <c r="F16" s="97" t="s">
        <v>123</v>
      </c>
      <c r="G16" s="105" t="s">
        <v>178</v>
      </c>
    </row>
    <row r="17" spans="1:7" ht="19.5" customHeight="1">
      <c r="A17" s="290" t="s">
        <v>179</v>
      </c>
      <c r="B17" s="106" t="s">
        <v>173</v>
      </c>
      <c r="C17" s="101">
        <f>'計測データ'!B24/1000</f>
        <v>450</v>
      </c>
      <c r="D17" s="110" t="s">
        <v>180</v>
      </c>
      <c r="E17" s="101">
        <f>C17*'【入力ｼｰﾄ②】ｺｰｼﾞｪﾈ方式(導入前)'!F7*'計測データ'!K3</f>
        <v>522.45</v>
      </c>
      <c r="F17" s="97" t="s">
        <v>123</v>
      </c>
      <c r="G17" s="99" t="s">
        <v>181</v>
      </c>
    </row>
    <row r="18" spans="1:7" ht="19.5" customHeight="1">
      <c r="A18" s="291"/>
      <c r="B18" s="106" t="s">
        <v>175</v>
      </c>
      <c r="C18" s="101">
        <v>0</v>
      </c>
      <c r="D18" s="97" t="s">
        <v>156</v>
      </c>
      <c r="E18" s="101">
        <f>C18*'計測データ'!K4</f>
        <v>0</v>
      </c>
      <c r="F18" s="97" t="s">
        <v>123</v>
      </c>
      <c r="G18" s="102" t="s">
        <v>182</v>
      </c>
    </row>
    <row r="19" spans="1:7" ht="19.5" customHeight="1">
      <c r="A19" s="292"/>
      <c r="B19" s="106" t="s">
        <v>177</v>
      </c>
      <c r="C19" s="293"/>
      <c r="D19" s="294"/>
      <c r="E19" s="101">
        <f>+E17+E18</f>
        <v>522.45</v>
      </c>
      <c r="F19" s="97" t="s">
        <v>183</v>
      </c>
      <c r="G19" s="105" t="s">
        <v>184</v>
      </c>
    </row>
    <row r="20" spans="1:7" ht="19.5" customHeight="1">
      <c r="A20" s="295" t="s">
        <v>185</v>
      </c>
      <c r="B20" s="106" t="s">
        <v>186</v>
      </c>
      <c r="C20" s="296">
        <f>+E14+E15-E17-E18</f>
        <v>78.2777647058823</v>
      </c>
      <c r="D20" s="297"/>
      <c r="E20" s="297"/>
      <c r="F20" s="97" t="s">
        <v>183</v>
      </c>
      <c r="G20" s="99" t="s">
        <v>187</v>
      </c>
    </row>
    <row r="21" spans="1:7" ht="19.5" customHeight="1">
      <c r="A21" s="291"/>
      <c r="B21" s="106" t="s">
        <v>188</v>
      </c>
      <c r="C21" s="288">
        <f>+C20/(E14+E15)*100</f>
        <v>13.030488901109353</v>
      </c>
      <c r="D21" s="289"/>
      <c r="E21" s="289"/>
      <c r="F21" s="97" t="s">
        <v>189</v>
      </c>
      <c r="G21" s="105" t="s">
        <v>190</v>
      </c>
    </row>
    <row r="22" spans="1:7" ht="19.5" customHeight="1">
      <c r="A22" s="292"/>
      <c r="B22" s="106" t="s">
        <v>191</v>
      </c>
      <c r="C22" s="298">
        <f>C20/E7</f>
        <v>0.07827776470588231</v>
      </c>
      <c r="D22" s="299"/>
      <c r="E22" s="299"/>
      <c r="F22" s="97" t="s">
        <v>192</v>
      </c>
      <c r="G22" s="105" t="s">
        <v>193</v>
      </c>
    </row>
    <row r="23" spans="1:7" ht="19.5" customHeight="1">
      <c r="A23" s="284" t="s">
        <v>194</v>
      </c>
      <c r="B23" s="284"/>
      <c r="C23" s="285">
        <v>2.53</v>
      </c>
      <c r="D23" s="286"/>
      <c r="E23" s="286"/>
      <c r="F23" s="97" t="s">
        <v>195</v>
      </c>
      <c r="G23" s="99" t="s">
        <v>196</v>
      </c>
    </row>
    <row r="24" spans="1:7" ht="34.5" customHeight="1">
      <c r="A24" s="287" t="s">
        <v>197</v>
      </c>
      <c r="B24" s="284"/>
      <c r="C24" s="288">
        <f>C20/C23</f>
        <v>30.939827946989055</v>
      </c>
      <c r="D24" s="289"/>
      <c r="E24" s="289"/>
      <c r="F24" s="97" t="s">
        <v>198</v>
      </c>
      <c r="G24" s="105" t="s">
        <v>199</v>
      </c>
    </row>
    <row r="25" spans="1:7" ht="19.5" customHeight="1">
      <c r="A25" s="111"/>
      <c r="B25" s="111"/>
      <c r="C25" s="111"/>
      <c r="D25" s="111"/>
      <c r="E25" s="112"/>
      <c r="F25" s="111"/>
      <c r="G25" s="111"/>
    </row>
    <row r="26" spans="1:7" ht="19.5" customHeight="1">
      <c r="A26" s="111"/>
      <c r="B26" s="111"/>
      <c r="C26" s="111"/>
      <c r="D26" s="111"/>
      <c r="E26" s="112"/>
      <c r="F26" s="111"/>
      <c r="G26" s="111"/>
    </row>
    <row r="27" spans="1:7" ht="19.5" customHeight="1">
      <c r="A27" s="111"/>
      <c r="B27" s="111"/>
      <c r="C27" s="111"/>
      <c r="D27" s="111"/>
      <c r="E27" s="112"/>
      <c r="F27" s="111"/>
      <c r="G27" s="111"/>
    </row>
    <row r="28" spans="1:7" ht="19.5" customHeight="1">
      <c r="A28" s="111"/>
      <c r="B28" s="111"/>
      <c r="C28" s="111"/>
      <c r="D28" s="111"/>
      <c r="E28" s="112"/>
      <c r="F28" s="111"/>
      <c r="G28" s="111"/>
    </row>
    <row r="29" spans="1:7" ht="19.5" customHeight="1">
      <c r="A29" s="111"/>
      <c r="B29" s="111"/>
      <c r="C29" s="111"/>
      <c r="D29" s="111"/>
      <c r="E29" s="112"/>
      <c r="F29" s="111"/>
      <c r="G29" s="111"/>
    </row>
    <row r="31" ht="19.5" customHeight="1">
      <c r="B31" s="113"/>
    </row>
  </sheetData>
  <sheetProtection/>
  <mergeCells count="16">
    <mergeCell ref="A12:B13"/>
    <mergeCell ref="C12:F12"/>
    <mergeCell ref="C13:D13"/>
    <mergeCell ref="E13:F13"/>
    <mergeCell ref="A14:A16"/>
    <mergeCell ref="C16:D16"/>
    <mergeCell ref="A23:B23"/>
    <mergeCell ref="C23:E23"/>
    <mergeCell ref="A24:B24"/>
    <mergeCell ref="C24:E24"/>
    <mergeCell ref="A17:A19"/>
    <mergeCell ref="C19:D19"/>
    <mergeCell ref="A20:A22"/>
    <mergeCell ref="C20:E20"/>
    <mergeCell ref="C21:E21"/>
    <mergeCell ref="C22:E22"/>
  </mergeCells>
  <printOptions horizontalCentered="1"/>
  <pageMargins left="0.7874015748031497" right="0.7874015748031497" top="0.7874015748031497"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5"/>
  </sheetPr>
  <dimension ref="A1:B32"/>
  <sheetViews>
    <sheetView zoomScalePageLayoutView="0" workbookViewId="0" topLeftCell="A1">
      <selection activeCell="B20" sqref="B20"/>
    </sheetView>
  </sheetViews>
  <sheetFormatPr defaultColWidth="9.00390625" defaultRowHeight="13.5"/>
  <sheetData>
    <row r="1" ht="13.5">
      <c r="A1" t="s">
        <v>102</v>
      </c>
    </row>
    <row r="3" spans="1:2" ht="13.5">
      <c r="A3" s="41"/>
      <c r="B3" t="s">
        <v>316</v>
      </c>
    </row>
    <row r="4" spans="1:2" ht="13.5">
      <c r="A4" s="42"/>
      <c r="B4" t="s">
        <v>103</v>
      </c>
    </row>
    <row r="5" s="44" customFormat="1" ht="13.5">
      <c r="A5" s="43" t="s">
        <v>312</v>
      </c>
    </row>
    <row r="7" ht="13.5">
      <c r="A7" t="s">
        <v>137</v>
      </c>
    </row>
    <row r="9" ht="13.5">
      <c r="A9" t="s">
        <v>141</v>
      </c>
    </row>
    <row r="11" ht="13.5">
      <c r="A11" t="s">
        <v>315</v>
      </c>
    </row>
    <row r="12" spans="1:2" ht="13.5">
      <c r="A12" s="71"/>
      <c r="B12" t="s">
        <v>147</v>
      </c>
    </row>
    <row r="13" ht="13.5">
      <c r="A13" t="s">
        <v>140</v>
      </c>
    </row>
    <row r="14" ht="13.5">
      <c r="A14" t="s">
        <v>142</v>
      </c>
    </row>
    <row r="32" ht="13.5">
      <c r="A32" s="45" t="s">
        <v>104</v>
      </c>
    </row>
  </sheetData>
  <sheetProtection/>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AB24"/>
  <sheetViews>
    <sheetView zoomScale="70" zoomScaleNormal="70" zoomScalePageLayoutView="0" workbookViewId="0" topLeftCell="A1">
      <selection activeCell="P6" sqref="P6"/>
    </sheetView>
  </sheetViews>
  <sheetFormatPr defaultColWidth="10.625" defaultRowHeight="24.75" customHeight="1"/>
  <cols>
    <col min="1" max="5" width="10.625" style="46" customWidth="1"/>
    <col min="6" max="18" width="10.625" style="51" customWidth="1"/>
    <col min="19" max="22" width="10.625" style="46" customWidth="1"/>
    <col min="23" max="23" width="10.625" style="46" hidden="1" customWidth="1"/>
    <col min="24" max="24" width="12.375" style="46" hidden="1" customWidth="1"/>
    <col min="25" max="28" width="10.625" style="46" hidden="1" customWidth="1"/>
    <col min="29" max="16384" width="10.625" style="46" customWidth="1"/>
  </cols>
  <sheetData>
    <row r="1" spans="1:21" ht="24.75" customHeight="1">
      <c r="A1" s="54" t="s">
        <v>149</v>
      </c>
      <c r="C1" s="307" t="s">
        <v>148</v>
      </c>
      <c r="D1" s="308"/>
      <c r="E1" s="308"/>
      <c r="G1" s="76" t="s">
        <v>145</v>
      </c>
      <c r="H1" s="76"/>
      <c r="I1" s="76" t="s">
        <v>146</v>
      </c>
      <c r="J1" s="77"/>
      <c r="K1" s="78"/>
      <c r="L1" s="78"/>
      <c r="M1" s="79"/>
      <c r="R1" s="46"/>
      <c r="S1" s="51"/>
      <c r="T1" s="47" t="s">
        <v>150</v>
      </c>
      <c r="U1" s="84"/>
    </row>
    <row r="2" spans="3:19" ht="24.75" customHeight="1">
      <c r="C2" s="46" t="s">
        <v>47</v>
      </c>
      <c r="G2" s="66" t="s">
        <v>124</v>
      </c>
      <c r="J2" s="68" t="s">
        <v>132</v>
      </c>
      <c r="K2" s="68"/>
      <c r="L2" s="68"/>
      <c r="N2" s="51" t="s">
        <v>151</v>
      </c>
      <c r="R2" s="46"/>
      <c r="S2" s="51"/>
    </row>
    <row r="3" spans="1:19" ht="24.75" customHeight="1">
      <c r="A3" s="64"/>
      <c r="B3" s="65" t="s">
        <v>127</v>
      </c>
      <c r="D3" s="47" t="s">
        <v>107</v>
      </c>
      <c r="G3" s="49">
        <f>+'【入力ｼｰﾄ②】ｺｰｼﾞｪﾈ方式(導入前)'!B4*'【入力ｼｰﾄ②】ｺｰｼﾞｪﾈ方式(導入前)'!B16</f>
        <v>1000</v>
      </c>
      <c r="H3" s="49" t="s">
        <v>125</v>
      </c>
      <c r="J3" s="69" t="s">
        <v>133</v>
      </c>
      <c r="K3" s="69">
        <v>0.0258</v>
      </c>
      <c r="L3" s="69" t="s">
        <v>134</v>
      </c>
      <c r="N3" s="80" t="s">
        <v>152</v>
      </c>
      <c r="O3" s="81"/>
      <c r="P3" s="81"/>
      <c r="Q3" s="82"/>
      <c r="R3" s="85"/>
      <c r="S3" s="83" t="s">
        <v>153</v>
      </c>
    </row>
    <row r="4" spans="1:19" ht="24.75" customHeight="1">
      <c r="A4" s="56"/>
      <c r="B4" s="65" t="s">
        <v>128</v>
      </c>
      <c r="C4" s="47" t="s">
        <v>8</v>
      </c>
      <c r="D4" s="50">
        <f>+'【入力ｼｰﾄ①】従来方式(導入前)'!B11</f>
        <v>1.2222222222222223</v>
      </c>
      <c r="E4" s="47" t="s">
        <v>121</v>
      </c>
      <c r="J4" s="69" t="s">
        <v>135</v>
      </c>
      <c r="K4" s="69">
        <v>0.252</v>
      </c>
      <c r="L4" s="70" t="s">
        <v>136</v>
      </c>
      <c r="N4" s="80" t="s">
        <v>154</v>
      </c>
      <c r="O4" s="81"/>
      <c r="P4" s="81"/>
      <c r="Q4" s="82"/>
      <c r="R4" s="85"/>
      <c r="S4" s="83" t="s">
        <v>155</v>
      </c>
    </row>
    <row r="5" spans="3:19" ht="24.75" customHeight="1">
      <c r="C5" s="47" t="s">
        <v>49</v>
      </c>
      <c r="D5" s="50">
        <f>+'【入力ｼｰﾄ①】従来方式(導入前)'!B22</f>
        <v>1.2941176470588236</v>
      </c>
      <c r="E5" s="47" t="s">
        <v>121</v>
      </c>
      <c r="R5" s="46"/>
      <c r="S5" s="51"/>
    </row>
    <row r="6" spans="3:19" ht="24.75" customHeight="1">
      <c r="C6" s="47" t="s">
        <v>50</v>
      </c>
      <c r="D6" s="50">
        <f>+'【入力ｼｰﾄ①】従来方式(導入前)'!B28</f>
        <v>0.8148148148148149</v>
      </c>
      <c r="E6" s="47" t="s">
        <v>121</v>
      </c>
      <c r="R6" s="46"/>
      <c r="S6" s="51"/>
    </row>
    <row r="7" spans="3:19" ht="24.75" customHeight="1">
      <c r="C7" s="47" t="s">
        <v>120</v>
      </c>
      <c r="D7" s="50">
        <f>+'【入力ｼｰﾄ①】従来方式(導入前)'!B31</f>
        <v>1.2222222222222223</v>
      </c>
      <c r="E7" s="47" t="s">
        <v>121</v>
      </c>
      <c r="R7" s="46"/>
      <c r="S7" s="51"/>
    </row>
    <row r="8" spans="3:19" ht="24.75" customHeight="1">
      <c r="C8" s="48"/>
      <c r="D8" s="67"/>
      <c r="E8" s="48"/>
      <c r="R8" s="46"/>
      <c r="S8" s="51"/>
    </row>
    <row r="9" spans="1:28" ht="24.75" customHeight="1">
      <c r="A9" s="86" t="s">
        <v>311</v>
      </c>
      <c r="B9" s="87"/>
      <c r="C9" s="88"/>
      <c r="D9" s="88"/>
      <c r="E9" s="88"/>
      <c r="F9" s="87"/>
      <c r="G9" s="87"/>
      <c r="H9" s="87"/>
      <c r="I9" s="89"/>
      <c r="J9" s="89"/>
      <c r="K9" s="83"/>
      <c r="L9" s="311" t="s">
        <v>114</v>
      </c>
      <c r="M9" s="311"/>
      <c r="N9" s="311"/>
      <c r="O9" s="311"/>
      <c r="P9" s="311" t="s">
        <v>115</v>
      </c>
      <c r="Q9" s="311"/>
      <c r="R9" s="311"/>
      <c r="S9" s="311"/>
      <c r="T9" s="311" t="s">
        <v>119</v>
      </c>
      <c r="U9" s="311" t="s">
        <v>143</v>
      </c>
      <c r="V9" s="309" t="s">
        <v>12</v>
      </c>
      <c r="W9" s="90" t="s">
        <v>139</v>
      </c>
      <c r="X9" s="72"/>
      <c r="Y9" s="72"/>
      <c r="Z9" s="73"/>
      <c r="AA9" s="73"/>
      <c r="AB9" s="74"/>
    </row>
    <row r="10" spans="1:28" ht="24.75" customHeight="1">
      <c r="A10" s="310"/>
      <c r="B10" s="47" t="s">
        <v>7</v>
      </c>
      <c r="C10" s="47" t="s">
        <v>10</v>
      </c>
      <c r="D10" s="47" t="s">
        <v>129</v>
      </c>
      <c r="E10" s="47" t="s">
        <v>201</v>
      </c>
      <c r="F10" s="58" t="s">
        <v>11</v>
      </c>
      <c r="G10" s="58" t="s">
        <v>200</v>
      </c>
      <c r="H10" s="58" t="s">
        <v>42</v>
      </c>
      <c r="I10" s="49" t="s">
        <v>9</v>
      </c>
      <c r="J10" s="49" t="s">
        <v>105</v>
      </c>
      <c r="K10" s="52" t="s">
        <v>112</v>
      </c>
      <c r="L10" s="60" t="s">
        <v>108</v>
      </c>
      <c r="M10" s="60" t="s">
        <v>109</v>
      </c>
      <c r="N10" s="60" t="s">
        <v>110</v>
      </c>
      <c r="O10" s="60" t="s">
        <v>113</v>
      </c>
      <c r="P10" s="60" t="s">
        <v>13</v>
      </c>
      <c r="Q10" s="60" t="s">
        <v>116</v>
      </c>
      <c r="R10" s="60" t="s">
        <v>117</v>
      </c>
      <c r="S10" s="60" t="s">
        <v>118</v>
      </c>
      <c r="T10" s="311"/>
      <c r="U10" s="311"/>
      <c r="V10" s="309"/>
      <c r="W10" s="47" t="s">
        <v>7</v>
      </c>
      <c r="X10" s="47" t="s">
        <v>10</v>
      </c>
      <c r="Y10" s="60" t="s">
        <v>108</v>
      </c>
      <c r="Z10" s="60" t="s">
        <v>109</v>
      </c>
      <c r="AA10" s="60" t="s">
        <v>110</v>
      </c>
      <c r="AB10" s="60" t="s">
        <v>113</v>
      </c>
    </row>
    <row r="11" spans="1:28" ht="24.75" customHeight="1">
      <c r="A11" s="310"/>
      <c r="B11" s="47" t="s">
        <v>122</v>
      </c>
      <c r="C11" s="47" t="s">
        <v>15</v>
      </c>
      <c r="D11" s="47" t="s">
        <v>15</v>
      </c>
      <c r="E11" s="47" t="s">
        <v>156</v>
      </c>
      <c r="F11" s="58"/>
      <c r="G11" s="58"/>
      <c r="H11" s="58" t="s">
        <v>126</v>
      </c>
      <c r="I11" s="49" t="s">
        <v>106</v>
      </c>
      <c r="J11" s="49" t="s">
        <v>106</v>
      </c>
      <c r="K11" s="49" t="s">
        <v>138</v>
      </c>
      <c r="L11" s="53" t="s">
        <v>111</v>
      </c>
      <c r="M11" s="53" t="s">
        <v>106</v>
      </c>
      <c r="N11" s="53" t="s">
        <v>106</v>
      </c>
      <c r="O11" s="53" t="s">
        <v>111</v>
      </c>
      <c r="P11" s="61" t="s">
        <v>111</v>
      </c>
      <c r="Q11" s="61" t="s">
        <v>106</v>
      </c>
      <c r="R11" s="61" t="s">
        <v>106</v>
      </c>
      <c r="S11" s="61" t="s">
        <v>138</v>
      </c>
      <c r="T11" s="61" t="s">
        <v>123</v>
      </c>
      <c r="U11" s="61" t="s">
        <v>144</v>
      </c>
      <c r="V11" s="62"/>
      <c r="W11" s="47" t="s">
        <v>130</v>
      </c>
      <c r="X11" s="47" t="s">
        <v>157</v>
      </c>
      <c r="Y11" s="53" t="s">
        <v>131</v>
      </c>
      <c r="Z11" s="53" t="s">
        <v>131</v>
      </c>
      <c r="AA11" s="53" t="s">
        <v>131</v>
      </c>
      <c r="AB11" s="53" t="s">
        <v>131</v>
      </c>
    </row>
    <row r="12" spans="1:28"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13.04629411764705</v>
      </c>
      <c r="U12" s="75">
        <f>+T12/$G$3</f>
        <v>0.01304629411764705</v>
      </c>
      <c r="V12" s="57">
        <f>+T12/((P12+Q12+R12+S12)*$K$3+$E12*$K$4)</f>
        <v>0.13030488901109352</v>
      </c>
      <c r="W12" s="91">
        <f>B12/$H12</f>
        <v>250</v>
      </c>
      <c r="X12" s="47">
        <f>C12/$H12*1000</f>
        <v>1000</v>
      </c>
      <c r="Y12" s="91">
        <f>L12*1000/$H12</f>
        <v>1500</v>
      </c>
      <c r="Z12" s="91">
        <f>M12*1000/$H12</f>
        <v>1333.3333333333333</v>
      </c>
      <c r="AA12" s="91">
        <f>N12*1000/$H12</f>
        <v>0</v>
      </c>
      <c r="AB12" s="91">
        <f>O12*1000/$H12</f>
        <v>0</v>
      </c>
    </row>
    <row r="13" spans="1:28" ht="24.75" customHeight="1">
      <c r="A13" s="47" t="s">
        <v>17</v>
      </c>
      <c r="B13" s="63">
        <v>75000</v>
      </c>
      <c r="C13" s="63">
        <v>300</v>
      </c>
      <c r="D13" s="63">
        <v>12</v>
      </c>
      <c r="E13" s="55">
        <f aca="true" t="shared" si="3" ref="E13:E23">C13-D13</f>
        <v>288</v>
      </c>
      <c r="F13" s="57">
        <f>+$C13*3600/$B13/'【入力ｼｰﾄ②】ｺｰｼﾞｪﾈ方式(導入前)'!$F$6</f>
        <v>0.35467980295566504</v>
      </c>
      <c r="G13" s="57">
        <f>+$E13*3600/$B13/'【入力ｼｰﾄ②】ｺｰｼﾞｪﾈ方式(導入前)'!$F$6</f>
        <v>0.3404926108374384</v>
      </c>
      <c r="H13" s="63">
        <v>300</v>
      </c>
      <c r="I13" s="63">
        <v>450</v>
      </c>
      <c r="J13" s="63">
        <v>720</v>
      </c>
      <c r="K13" s="63">
        <v>0</v>
      </c>
      <c r="L13" s="63">
        <v>450</v>
      </c>
      <c r="M13" s="63">
        <v>400</v>
      </c>
      <c r="N13" s="63">
        <v>0</v>
      </c>
      <c r="O13" s="63">
        <v>0</v>
      </c>
      <c r="P13" s="55">
        <f aca="true" t="shared" si="4" ref="P13:P23">+L13*$D$4</f>
        <v>550</v>
      </c>
      <c r="Q13" s="55">
        <f t="shared" si="0"/>
        <v>517.6470588235294</v>
      </c>
      <c r="R13" s="55">
        <f t="shared" si="1"/>
        <v>0</v>
      </c>
      <c r="S13" s="55">
        <f t="shared" si="2"/>
        <v>0</v>
      </c>
      <c r="T13" s="55">
        <f>+E13*$K$4+(P13+Q13+R13+S13)*$K$3-B13/1000*'【入力ｼｰﾄ②】ｺｰｼﾞｪﾈ方式(導入前)'!$F$7*$K$3</f>
        <v>13.04629411764705</v>
      </c>
      <c r="U13" s="75">
        <f aca="true" t="shared" si="5" ref="U13:U23">+T13/$G$3</f>
        <v>0.01304629411764705</v>
      </c>
      <c r="V13" s="57">
        <f aca="true" t="shared" si="6" ref="V13:V23">+T13/((P13+Q13+R13+S13)*$K$3+$E13*$K$4)</f>
        <v>0.13030488901109352</v>
      </c>
      <c r="W13" s="91">
        <f aca="true" t="shared" si="7" ref="W13:W24">B13/$H13</f>
        <v>250</v>
      </c>
      <c r="X13" s="47">
        <f aca="true" t="shared" si="8" ref="X13:X24">C13/$H13*1000</f>
        <v>1000</v>
      </c>
      <c r="Y13" s="91">
        <f aca="true" t="shared" si="9" ref="Y13:Y24">L13*1000/$H13</f>
        <v>1500</v>
      </c>
      <c r="Z13" s="91">
        <f aca="true" t="shared" si="10" ref="Z13:Z24">M13*1000/$H13</f>
        <v>1333.3333333333333</v>
      </c>
      <c r="AA13" s="91">
        <f aca="true" t="shared" si="11" ref="AA13:AA24">N13*1000/$H13</f>
        <v>0</v>
      </c>
      <c r="AB13" s="91">
        <f aca="true" t="shared" si="12" ref="AB13:AB24">O13*1000/$H13</f>
        <v>0</v>
      </c>
    </row>
    <row r="14" spans="1:28" ht="24.75" customHeight="1">
      <c r="A14" s="47" t="s">
        <v>18</v>
      </c>
      <c r="B14" s="63">
        <v>75000</v>
      </c>
      <c r="C14" s="63">
        <v>300</v>
      </c>
      <c r="D14" s="63">
        <v>12</v>
      </c>
      <c r="E14" s="55">
        <f t="shared" si="3"/>
        <v>288</v>
      </c>
      <c r="F14" s="57">
        <f>+$C14*3600/$B14/'【入力ｼｰﾄ②】ｺｰｼﾞｪﾈ方式(導入前)'!$F$6</f>
        <v>0.35467980295566504</v>
      </c>
      <c r="G14" s="57">
        <f>+$E14*3600/$B14/'【入力ｼｰﾄ②】ｺｰｼﾞｪﾈ方式(導入前)'!$F$6</f>
        <v>0.3404926108374384</v>
      </c>
      <c r="H14" s="63">
        <v>300</v>
      </c>
      <c r="I14" s="63">
        <v>450</v>
      </c>
      <c r="J14" s="63">
        <v>720</v>
      </c>
      <c r="K14" s="63">
        <v>0</v>
      </c>
      <c r="L14" s="63">
        <v>450</v>
      </c>
      <c r="M14" s="63">
        <v>400</v>
      </c>
      <c r="N14" s="63">
        <v>0</v>
      </c>
      <c r="O14" s="63">
        <v>0</v>
      </c>
      <c r="P14" s="55">
        <f t="shared" si="4"/>
        <v>550</v>
      </c>
      <c r="Q14" s="55">
        <f t="shared" si="0"/>
        <v>517.6470588235294</v>
      </c>
      <c r="R14" s="55">
        <f t="shared" si="1"/>
        <v>0</v>
      </c>
      <c r="S14" s="55">
        <f t="shared" si="2"/>
        <v>0</v>
      </c>
      <c r="T14" s="55">
        <f>+E14*$K$4+(P14+Q14+R14+S14)*$K$3-B14/1000*'【入力ｼｰﾄ②】ｺｰｼﾞｪﾈ方式(導入前)'!$F$7*$K$3</f>
        <v>13.04629411764705</v>
      </c>
      <c r="U14" s="75">
        <f t="shared" si="5"/>
        <v>0.01304629411764705</v>
      </c>
      <c r="V14" s="57">
        <f t="shared" si="6"/>
        <v>0.13030488901109352</v>
      </c>
      <c r="W14" s="91">
        <f t="shared" si="7"/>
        <v>250</v>
      </c>
      <c r="X14" s="47">
        <f t="shared" si="8"/>
        <v>1000</v>
      </c>
      <c r="Y14" s="91">
        <f t="shared" si="9"/>
        <v>1500</v>
      </c>
      <c r="Z14" s="91">
        <f t="shared" si="10"/>
        <v>1333.3333333333333</v>
      </c>
      <c r="AA14" s="91">
        <f t="shared" si="11"/>
        <v>0</v>
      </c>
      <c r="AB14" s="91">
        <f t="shared" si="12"/>
        <v>0</v>
      </c>
    </row>
    <row r="15" spans="1:28" ht="24.75" customHeight="1">
      <c r="A15" s="47" t="s">
        <v>19</v>
      </c>
      <c r="B15" s="63">
        <v>75000</v>
      </c>
      <c r="C15" s="63">
        <v>300</v>
      </c>
      <c r="D15" s="63">
        <v>12</v>
      </c>
      <c r="E15" s="55">
        <f t="shared" si="3"/>
        <v>288</v>
      </c>
      <c r="F15" s="57">
        <f>+$C15*3600/$B15/'【入力ｼｰﾄ②】ｺｰｼﾞｪﾈ方式(導入前)'!$F$6</f>
        <v>0.35467980295566504</v>
      </c>
      <c r="G15" s="57">
        <f>+$E15*3600/$B15/'【入力ｼｰﾄ②】ｺｰｼﾞｪﾈ方式(導入前)'!$F$6</f>
        <v>0.3404926108374384</v>
      </c>
      <c r="H15" s="63">
        <v>300</v>
      </c>
      <c r="I15" s="63">
        <v>450</v>
      </c>
      <c r="J15" s="63">
        <v>720</v>
      </c>
      <c r="K15" s="63">
        <v>0</v>
      </c>
      <c r="L15" s="63">
        <v>450</v>
      </c>
      <c r="M15" s="63">
        <v>400</v>
      </c>
      <c r="N15" s="63">
        <v>0</v>
      </c>
      <c r="O15" s="63">
        <v>0</v>
      </c>
      <c r="P15" s="55">
        <f t="shared" si="4"/>
        <v>550</v>
      </c>
      <c r="Q15" s="55">
        <f t="shared" si="0"/>
        <v>517.6470588235294</v>
      </c>
      <c r="R15" s="55">
        <f t="shared" si="1"/>
        <v>0</v>
      </c>
      <c r="S15" s="55">
        <f t="shared" si="2"/>
        <v>0</v>
      </c>
      <c r="T15" s="55">
        <f>+E15*$K$4+(P15+Q15+R15+S15)*$K$3-B15/1000*'【入力ｼｰﾄ②】ｺｰｼﾞｪﾈ方式(導入前)'!$F$7*$K$3</f>
        <v>13.04629411764705</v>
      </c>
      <c r="U15" s="75">
        <f t="shared" si="5"/>
        <v>0.01304629411764705</v>
      </c>
      <c r="V15" s="57">
        <f t="shared" si="6"/>
        <v>0.13030488901109352</v>
      </c>
      <c r="W15" s="91">
        <f t="shared" si="7"/>
        <v>250</v>
      </c>
      <c r="X15" s="47">
        <f t="shared" si="8"/>
        <v>1000</v>
      </c>
      <c r="Y15" s="91">
        <f t="shared" si="9"/>
        <v>1500</v>
      </c>
      <c r="Z15" s="91">
        <f t="shared" si="10"/>
        <v>1333.3333333333333</v>
      </c>
      <c r="AA15" s="91">
        <f t="shared" si="11"/>
        <v>0</v>
      </c>
      <c r="AB15" s="91">
        <f t="shared" si="12"/>
        <v>0</v>
      </c>
    </row>
    <row r="16" spans="1:28" ht="24.75" customHeight="1">
      <c r="A16" s="47" t="s">
        <v>20</v>
      </c>
      <c r="B16" s="63">
        <v>75000</v>
      </c>
      <c r="C16" s="63">
        <v>300</v>
      </c>
      <c r="D16" s="63">
        <v>12</v>
      </c>
      <c r="E16" s="55">
        <f t="shared" si="3"/>
        <v>288</v>
      </c>
      <c r="F16" s="57">
        <f>+$C16*3600/$B16/'【入力ｼｰﾄ②】ｺｰｼﾞｪﾈ方式(導入前)'!$F$6</f>
        <v>0.35467980295566504</v>
      </c>
      <c r="G16" s="57">
        <f>+$E16*3600/$B16/'【入力ｼｰﾄ②】ｺｰｼﾞｪﾈ方式(導入前)'!$F$6</f>
        <v>0.3404926108374384</v>
      </c>
      <c r="H16" s="63">
        <v>300</v>
      </c>
      <c r="I16" s="63">
        <v>450</v>
      </c>
      <c r="J16" s="63">
        <v>720</v>
      </c>
      <c r="K16" s="63">
        <v>0</v>
      </c>
      <c r="L16" s="63">
        <v>450</v>
      </c>
      <c r="M16" s="63">
        <v>400</v>
      </c>
      <c r="N16" s="63">
        <v>0</v>
      </c>
      <c r="O16" s="63">
        <v>0</v>
      </c>
      <c r="P16" s="55">
        <f t="shared" si="4"/>
        <v>550</v>
      </c>
      <c r="Q16" s="55">
        <f t="shared" si="0"/>
        <v>517.6470588235294</v>
      </c>
      <c r="R16" s="55">
        <f t="shared" si="1"/>
        <v>0</v>
      </c>
      <c r="S16" s="55">
        <f t="shared" si="2"/>
        <v>0</v>
      </c>
      <c r="T16" s="55">
        <f>+E16*$K$4+(P16+Q16+R16+S16)*$K$3-B16/1000*'【入力ｼｰﾄ②】ｺｰｼﾞｪﾈ方式(導入前)'!$F$7*$K$3</f>
        <v>13.04629411764705</v>
      </c>
      <c r="U16" s="75">
        <f t="shared" si="5"/>
        <v>0.01304629411764705</v>
      </c>
      <c r="V16" s="57">
        <f t="shared" si="6"/>
        <v>0.13030488901109352</v>
      </c>
      <c r="W16" s="91">
        <f t="shared" si="7"/>
        <v>250</v>
      </c>
      <c r="X16" s="47">
        <f t="shared" si="8"/>
        <v>1000</v>
      </c>
      <c r="Y16" s="91">
        <f t="shared" si="9"/>
        <v>1500</v>
      </c>
      <c r="Z16" s="91">
        <f t="shared" si="10"/>
        <v>1333.3333333333333</v>
      </c>
      <c r="AA16" s="91">
        <f t="shared" si="11"/>
        <v>0</v>
      </c>
      <c r="AB16" s="91">
        <f t="shared" si="12"/>
        <v>0</v>
      </c>
    </row>
    <row r="17" spans="1:28" ht="24.75" customHeight="1">
      <c r="A17" s="47" t="s">
        <v>0</v>
      </c>
      <c r="B17" s="63">
        <v>75000</v>
      </c>
      <c r="C17" s="63">
        <v>300</v>
      </c>
      <c r="D17" s="63">
        <v>12</v>
      </c>
      <c r="E17" s="55">
        <f t="shared" si="3"/>
        <v>288</v>
      </c>
      <c r="F17" s="57">
        <f>+$C17*3600/$B17/'【入力ｼｰﾄ②】ｺｰｼﾞｪﾈ方式(導入前)'!$F$6</f>
        <v>0.35467980295566504</v>
      </c>
      <c r="G17" s="57">
        <f>+$E17*3600/$B17/'【入力ｼｰﾄ②】ｺｰｼﾞｪﾈ方式(導入前)'!$F$6</f>
        <v>0.3404926108374384</v>
      </c>
      <c r="H17" s="63">
        <v>300</v>
      </c>
      <c r="I17" s="63">
        <v>450</v>
      </c>
      <c r="J17" s="63">
        <v>720</v>
      </c>
      <c r="K17" s="63">
        <v>0</v>
      </c>
      <c r="L17" s="63">
        <v>450</v>
      </c>
      <c r="M17" s="63">
        <v>400</v>
      </c>
      <c r="N17" s="63">
        <v>0</v>
      </c>
      <c r="O17" s="63">
        <v>0</v>
      </c>
      <c r="P17" s="55">
        <f t="shared" si="4"/>
        <v>550</v>
      </c>
      <c r="Q17" s="55">
        <f t="shared" si="0"/>
        <v>517.6470588235294</v>
      </c>
      <c r="R17" s="55">
        <f t="shared" si="1"/>
        <v>0</v>
      </c>
      <c r="S17" s="55">
        <f t="shared" si="2"/>
        <v>0</v>
      </c>
      <c r="T17" s="55">
        <f>+E17*$K$4+(P17+Q17+R17+S17)*$K$3-B17/1000*'【入力ｼｰﾄ②】ｺｰｼﾞｪﾈ方式(導入前)'!$F$7*$K$3</f>
        <v>13.04629411764705</v>
      </c>
      <c r="U17" s="75">
        <f t="shared" si="5"/>
        <v>0.01304629411764705</v>
      </c>
      <c r="V17" s="57">
        <f t="shared" si="6"/>
        <v>0.13030488901109352</v>
      </c>
      <c r="W17" s="91">
        <f t="shared" si="7"/>
        <v>250</v>
      </c>
      <c r="X17" s="47">
        <f t="shared" si="8"/>
        <v>1000</v>
      </c>
      <c r="Y17" s="91">
        <f t="shared" si="9"/>
        <v>1500</v>
      </c>
      <c r="Z17" s="91">
        <f t="shared" si="10"/>
        <v>1333.3333333333333</v>
      </c>
      <c r="AA17" s="91">
        <f t="shared" si="11"/>
        <v>0</v>
      </c>
      <c r="AB17" s="91">
        <f t="shared" si="12"/>
        <v>0</v>
      </c>
    </row>
    <row r="18" spans="1:28"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75">
        <f t="shared" si="5"/>
        <v>0</v>
      </c>
      <c r="V18" s="57" t="e">
        <f t="shared" si="6"/>
        <v>#DIV/0!</v>
      </c>
      <c r="W18" s="91" t="e">
        <f t="shared" si="7"/>
        <v>#DIV/0!</v>
      </c>
      <c r="X18" s="47" t="e">
        <f t="shared" si="8"/>
        <v>#DIV/0!</v>
      </c>
      <c r="Y18" s="91" t="e">
        <f t="shared" si="9"/>
        <v>#DIV/0!</v>
      </c>
      <c r="Z18" s="91" t="e">
        <f t="shared" si="10"/>
        <v>#DIV/0!</v>
      </c>
      <c r="AA18" s="91" t="e">
        <f t="shared" si="11"/>
        <v>#DIV/0!</v>
      </c>
      <c r="AB18" s="91" t="e">
        <f t="shared" si="12"/>
        <v>#DIV/0!</v>
      </c>
    </row>
    <row r="19" spans="1:28"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75">
        <f t="shared" si="5"/>
        <v>0</v>
      </c>
      <c r="V19" s="57" t="e">
        <f t="shared" si="6"/>
        <v>#DIV/0!</v>
      </c>
      <c r="W19" s="91" t="e">
        <f t="shared" si="7"/>
        <v>#DIV/0!</v>
      </c>
      <c r="X19" s="47" t="e">
        <f t="shared" si="8"/>
        <v>#DIV/0!</v>
      </c>
      <c r="Y19" s="91" t="e">
        <f t="shared" si="9"/>
        <v>#DIV/0!</v>
      </c>
      <c r="Z19" s="91" t="e">
        <f t="shared" si="10"/>
        <v>#DIV/0!</v>
      </c>
      <c r="AA19" s="91" t="e">
        <f t="shared" si="11"/>
        <v>#DIV/0!</v>
      </c>
      <c r="AB19" s="91" t="e">
        <f t="shared" si="12"/>
        <v>#DIV/0!</v>
      </c>
    </row>
    <row r="20" spans="1:28"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75">
        <f t="shared" si="5"/>
        <v>0</v>
      </c>
      <c r="V20" s="57" t="e">
        <f t="shared" si="6"/>
        <v>#DIV/0!</v>
      </c>
      <c r="W20" s="91" t="e">
        <f t="shared" si="7"/>
        <v>#DIV/0!</v>
      </c>
      <c r="X20" s="47" t="e">
        <f t="shared" si="8"/>
        <v>#DIV/0!</v>
      </c>
      <c r="Y20" s="91" t="e">
        <f t="shared" si="9"/>
        <v>#DIV/0!</v>
      </c>
      <c r="Z20" s="91" t="e">
        <f t="shared" si="10"/>
        <v>#DIV/0!</v>
      </c>
      <c r="AA20" s="91" t="e">
        <f t="shared" si="11"/>
        <v>#DIV/0!</v>
      </c>
      <c r="AB20" s="91" t="e">
        <f t="shared" si="12"/>
        <v>#DIV/0!</v>
      </c>
    </row>
    <row r="21" spans="1:28"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75">
        <f t="shared" si="5"/>
        <v>0</v>
      </c>
      <c r="V21" s="57" t="e">
        <f t="shared" si="6"/>
        <v>#DIV/0!</v>
      </c>
      <c r="W21" s="91" t="e">
        <f t="shared" si="7"/>
        <v>#DIV/0!</v>
      </c>
      <c r="X21" s="47" t="e">
        <f t="shared" si="8"/>
        <v>#DIV/0!</v>
      </c>
      <c r="Y21" s="91" t="e">
        <f t="shared" si="9"/>
        <v>#DIV/0!</v>
      </c>
      <c r="Z21" s="91" t="e">
        <f t="shared" si="10"/>
        <v>#DIV/0!</v>
      </c>
      <c r="AA21" s="91" t="e">
        <f t="shared" si="11"/>
        <v>#DIV/0!</v>
      </c>
      <c r="AB21" s="91" t="e">
        <f t="shared" si="12"/>
        <v>#DIV/0!</v>
      </c>
    </row>
    <row r="22" spans="1:28"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75">
        <f t="shared" si="5"/>
        <v>0</v>
      </c>
      <c r="V22" s="57" t="e">
        <f t="shared" si="6"/>
        <v>#DIV/0!</v>
      </c>
      <c r="W22" s="91" t="e">
        <f t="shared" si="7"/>
        <v>#DIV/0!</v>
      </c>
      <c r="X22" s="47" t="e">
        <f t="shared" si="8"/>
        <v>#DIV/0!</v>
      </c>
      <c r="Y22" s="91" t="e">
        <f t="shared" si="9"/>
        <v>#DIV/0!</v>
      </c>
      <c r="Z22" s="91" t="e">
        <f t="shared" si="10"/>
        <v>#DIV/0!</v>
      </c>
      <c r="AA22" s="91" t="e">
        <f t="shared" si="11"/>
        <v>#DIV/0!</v>
      </c>
      <c r="AB22" s="91" t="e">
        <f t="shared" si="12"/>
        <v>#DIV/0!</v>
      </c>
    </row>
    <row r="23" spans="1:28"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75">
        <f t="shared" si="5"/>
        <v>0</v>
      </c>
      <c r="V23" s="57" t="e">
        <f t="shared" si="6"/>
        <v>#DIV/0!</v>
      </c>
      <c r="W23" s="91" t="e">
        <f t="shared" si="7"/>
        <v>#DIV/0!</v>
      </c>
      <c r="X23" s="47" t="e">
        <f t="shared" si="8"/>
        <v>#DIV/0!</v>
      </c>
      <c r="Y23" s="91" t="e">
        <f t="shared" si="9"/>
        <v>#DIV/0!</v>
      </c>
      <c r="Z23" s="91" t="e">
        <f t="shared" si="10"/>
        <v>#DIV/0!</v>
      </c>
      <c r="AA23" s="91" t="e">
        <f t="shared" si="11"/>
        <v>#DIV/0!</v>
      </c>
      <c r="AB23" s="91" t="e">
        <f t="shared" si="12"/>
        <v>#DIV/0!</v>
      </c>
    </row>
    <row r="24" spans="1:28" s="59" customFormat="1" ht="24.75" customHeight="1">
      <c r="A24" s="58" t="s">
        <v>14</v>
      </c>
      <c r="B24" s="55">
        <f>SUM(B12:B23)</f>
        <v>450000</v>
      </c>
      <c r="C24" s="55">
        <f>SUM(C12:C23)</f>
        <v>1800</v>
      </c>
      <c r="D24" s="55">
        <f>SUM(D12:D23)</f>
        <v>72</v>
      </c>
      <c r="E24" s="55">
        <f>SUM(E12:E23)</f>
        <v>1728</v>
      </c>
      <c r="F24" s="57">
        <f>+$C24*3600/$B24/'【入力ｼｰﾄ②】ｺｰｼﾞｪﾈ方式(導入前)'!$F$6</f>
        <v>0.35467980295566504</v>
      </c>
      <c r="G24" s="57">
        <f>+$E24*3600/$B24/'【入力ｼｰﾄ②】ｺｰｼﾞｪﾈ方式(導入前)'!$F$6</f>
        <v>0.3404926108374384</v>
      </c>
      <c r="H24" s="55">
        <f>SUM(H12:H23)</f>
        <v>1800</v>
      </c>
      <c r="I24" s="55">
        <f aca="true" t="shared" si="13" ref="I24:S24">SUM(I12:I23)</f>
        <v>2700</v>
      </c>
      <c r="J24" s="55">
        <f t="shared" si="13"/>
        <v>4320</v>
      </c>
      <c r="K24" s="55">
        <f t="shared" si="13"/>
        <v>0</v>
      </c>
      <c r="L24" s="55">
        <f t="shared" si="13"/>
        <v>2700</v>
      </c>
      <c r="M24" s="55">
        <f t="shared" si="13"/>
        <v>2400</v>
      </c>
      <c r="N24" s="55">
        <f t="shared" si="13"/>
        <v>0</v>
      </c>
      <c r="O24" s="55">
        <f t="shared" si="13"/>
        <v>0</v>
      </c>
      <c r="P24" s="55">
        <f t="shared" si="13"/>
        <v>3300</v>
      </c>
      <c r="Q24" s="55">
        <f t="shared" si="13"/>
        <v>3105.882352941176</v>
      </c>
      <c r="R24" s="55">
        <f t="shared" si="13"/>
        <v>0</v>
      </c>
      <c r="S24" s="55">
        <f t="shared" si="13"/>
        <v>0</v>
      </c>
      <c r="T24" s="55">
        <f>+E24*$K$4+(P24+Q24+R24+S24)*$K$3-B24/1000*'【入力ｼｰﾄ②】ｺｰｼﾞｪﾈ方式(導入前)'!$F$7*$K$3</f>
        <v>78.2777647058823</v>
      </c>
      <c r="U24" s="75">
        <f>+T24/$G$3</f>
        <v>0.07827776470588231</v>
      </c>
      <c r="V24" s="57">
        <f>+T24/((P24+Q24+R24+S24)*$K$3+$E24*$K$4)</f>
        <v>0.13030488901109352</v>
      </c>
      <c r="W24" s="91">
        <f t="shared" si="7"/>
        <v>250</v>
      </c>
      <c r="X24" s="47">
        <f t="shared" si="8"/>
        <v>1000</v>
      </c>
      <c r="Y24" s="91">
        <f t="shared" si="9"/>
        <v>1500</v>
      </c>
      <c r="Z24" s="91">
        <f t="shared" si="10"/>
        <v>1333.3333333333333</v>
      </c>
      <c r="AA24" s="91">
        <f t="shared" si="11"/>
        <v>0</v>
      </c>
      <c r="AB24" s="91">
        <f t="shared" si="12"/>
        <v>0</v>
      </c>
    </row>
  </sheetData>
  <sheetProtection/>
  <mergeCells count="7">
    <mergeCell ref="C1:E1"/>
    <mergeCell ref="V9:V10"/>
    <mergeCell ref="A10:A11"/>
    <mergeCell ref="L9:O9"/>
    <mergeCell ref="P9:S9"/>
    <mergeCell ref="T9:T10"/>
    <mergeCell ref="U9:U10"/>
  </mergeCells>
  <printOptions/>
  <pageMargins left="0.5905511811023623" right="0.3937007874015748" top="0.984251968503937" bottom="0.984251968503937" header="0.5118110236220472" footer="0.5118110236220472"/>
  <pageSetup horizontalDpi="600" verticalDpi="600" orientation="landscape" paperSize="8" scale="85" r:id="rId2"/>
  <colBreaks count="1" manualBreakCount="1">
    <brk id="22" max="65535" man="1"/>
  </colBreaks>
  <drawing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I34"/>
  <sheetViews>
    <sheetView zoomScalePageLayoutView="0" workbookViewId="0" topLeftCell="A1">
      <selection activeCell="L20" sqref="L20"/>
    </sheetView>
  </sheetViews>
  <sheetFormatPr defaultColWidth="9.00390625" defaultRowHeight="13.5"/>
  <cols>
    <col min="1" max="1" width="13.375" style="2" bestFit="1" customWidth="1"/>
    <col min="2" max="2" width="10.625" style="2" customWidth="1"/>
    <col min="3" max="3" width="10.625" style="1" customWidth="1"/>
    <col min="4" max="4" width="4.625" style="2" customWidth="1"/>
    <col min="5" max="12" width="10.625" style="2" customWidth="1"/>
    <col min="13" max="16384" width="9.00390625" style="2" customWidth="1"/>
  </cols>
  <sheetData>
    <row r="1" ht="12">
      <c r="A1" s="1" t="s">
        <v>26</v>
      </c>
    </row>
    <row r="3" spans="1:5" ht="12">
      <c r="A3" s="2" t="s">
        <v>8</v>
      </c>
      <c r="E3" s="2" t="s">
        <v>27</v>
      </c>
    </row>
    <row r="4" spans="1:9" ht="12">
      <c r="A4" s="3" t="s">
        <v>28</v>
      </c>
      <c r="B4" s="4">
        <v>0.8</v>
      </c>
      <c r="C4" s="1" t="s">
        <v>29</v>
      </c>
      <c r="F4" s="5" t="s">
        <v>30</v>
      </c>
      <c r="G4" s="5" t="s">
        <v>31</v>
      </c>
      <c r="H4" s="5" t="s">
        <v>32</v>
      </c>
      <c r="I4" s="3" t="s">
        <v>14</v>
      </c>
    </row>
    <row r="5" spans="1:9" ht="12">
      <c r="A5" s="3" t="s">
        <v>33</v>
      </c>
      <c r="B5" s="6">
        <f>660*4.186</f>
        <v>2762.7599999999998</v>
      </c>
      <c r="C5" s="1" t="s">
        <v>34</v>
      </c>
      <c r="E5" s="3" t="s">
        <v>35</v>
      </c>
      <c r="F5" s="7">
        <f>22*4</f>
        <v>88</v>
      </c>
      <c r="G5" s="7">
        <f>22*4</f>
        <v>88</v>
      </c>
      <c r="H5" s="7">
        <f>22*4</f>
        <v>88</v>
      </c>
      <c r="I5" s="4">
        <f>SUM(F5:H5)</f>
        <v>264</v>
      </c>
    </row>
    <row r="6" spans="1:3" ht="12">
      <c r="A6" s="3" t="s">
        <v>36</v>
      </c>
      <c r="B6" s="4">
        <v>60</v>
      </c>
      <c r="C6" s="1" t="s">
        <v>37</v>
      </c>
    </row>
    <row r="7" spans="1:6" ht="12">
      <c r="A7" s="3" t="s">
        <v>38</v>
      </c>
      <c r="B7" s="6">
        <v>333.15</v>
      </c>
      <c r="C7" s="1" t="s">
        <v>39</v>
      </c>
      <c r="E7" s="8"/>
      <c r="F7" s="8"/>
    </row>
    <row r="8" spans="1:5" ht="12">
      <c r="A8" s="312" t="s">
        <v>40</v>
      </c>
      <c r="B8" s="6">
        <v>1500</v>
      </c>
      <c r="C8" s="1" t="s">
        <v>41</v>
      </c>
      <c r="E8" s="2" t="s">
        <v>42</v>
      </c>
    </row>
    <row r="9" spans="1:9" ht="12">
      <c r="A9" s="313"/>
      <c r="B9" s="6">
        <f>B8*(B5-B7)/1000</f>
        <v>3644.4149999999995</v>
      </c>
      <c r="C9" s="1" t="s">
        <v>43</v>
      </c>
      <c r="F9" s="3" t="s">
        <v>30</v>
      </c>
      <c r="G9" s="3" t="s">
        <v>31</v>
      </c>
      <c r="H9" s="3" t="s">
        <v>32</v>
      </c>
      <c r="I9" s="3" t="s">
        <v>14</v>
      </c>
    </row>
    <row r="10" spans="1:9" ht="12">
      <c r="A10" s="9" t="s">
        <v>44</v>
      </c>
      <c r="B10" s="10">
        <v>0.9</v>
      </c>
      <c r="C10" s="11" t="s">
        <v>45</v>
      </c>
      <c r="E10" s="3" t="s">
        <v>46</v>
      </c>
      <c r="F10" s="12">
        <v>1056</v>
      </c>
      <c r="G10" s="12">
        <v>1056</v>
      </c>
      <c r="H10" s="12">
        <v>1056</v>
      </c>
      <c r="I10" s="13">
        <f>SUM(F10:H10)</f>
        <v>3168</v>
      </c>
    </row>
    <row r="11" spans="1:9" ht="12">
      <c r="A11" s="9" t="s">
        <v>47</v>
      </c>
      <c r="B11" s="14">
        <f>1.1/B10</f>
        <v>1.2222222222222223</v>
      </c>
      <c r="C11" s="1" t="s">
        <v>48</v>
      </c>
      <c r="E11" s="3" t="s">
        <v>8</v>
      </c>
      <c r="F11" s="12">
        <v>1056</v>
      </c>
      <c r="G11" s="12">
        <v>1056</v>
      </c>
      <c r="H11" s="12">
        <v>1056</v>
      </c>
      <c r="I11" s="13">
        <f>SUM(F11:H11)</f>
        <v>3168</v>
      </c>
    </row>
    <row r="12" spans="5:9" ht="12">
      <c r="E12" s="3" t="s">
        <v>49</v>
      </c>
      <c r="F12" s="12">
        <v>1056</v>
      </c>
      <c r="G12" s="12">
        <v>1056</v>
      </c>
      <c r="H12" s="12">
        <v>1056</v>
      </c>
      <c r="I12" s="13">
        <f>SUM(F12:H12)</f>
        <v>3168</v>
      </c>
    </row>
    <row r="13" spans="5:9" ht="12">
      <c r="E13" s="3" t="s">
        <v>50</v>
      </c>
      <c r="F13" s="12">
        <v>0</v>
      </c>
      <c r="G13" s="12">
        <v>0</v>
      </c>
      <c r="H13" s="12">
        <v>0</v>
      </c>
      <c r="I13" s="13">
        <f>SUM(F13:H13)</f>
        <v>0</v>
      </c>
    </row>
    <row r="14" spans="1:9" ht="12">
      <c r="A14" s="2" t="s">
        <v>49</v>
      </c>
      <c r="E14" s="3" t="s">
        <v>51</v>
      </c>
      <c r="F14" s="12">
        <v>0</v>
      </c>
      <c r="G14" s="12">
        <v>0</v>
      </c>
      <c r="H14" s="12">
        <v>0</v>
      </c>
      <c r="I14" s="13">
        <f>SUM(F14:H14)</f>
        <v>0</v>
      </c>
    </row>
    <row r="15" spans="1:3" ht="12">
      <c r="A15" s="3" t="s">
        <v>52</v>
      </c>
      <c r="B15" s="4">
        <v>80</v>
      </c>
      <c r="C15" s="1" t="s">
        <v>53</v>
      </c>
    </row>
    <row r="16" spans="1:3" ht="12">
      <c r="A16" s="3" t="s">
        <v>54</v>
      </c>
      <c r="B16" s="6">
        <v>334.92</v>
      </c>
      <c r="C16" s="1" t="s">
        <v>55</v>
      </c>
    </row>
    <row r="17" spans="1:3" ht="12">
      <c r="A17" s="3" t="s">
        <v>36</v>
      </c>
      <c r="B17" s="4">
        <v>20</v>
      </c>
      <c r="C17" s="1" t="s">
        <v>37</v>
      </c>
    </row>
    <row r="18" spans="1:6" ht="12">
      <c r="A18" s="3" t="s">
        <v>38</v>
      </c>
      <c r="B18" s="6">
        <v>83.86</v>
      </c>
      <c r="C18" s="1" t="s">
        <v>39</v>
      </c>
      <c r="E18" s="8"/>
      <c r="F18" s="8"/>
    </row>
    <row r="19" spans="1:6" ht="12">
      <c r="A19" s="312" t="s">
        <v>40</v>
      </c>
      <c r="B19" s="6">
        <v>10000</v>
      </c>
      <c r="C19" s="1" t="s">
        <v>41</v>
      </c>
      <c r="E19" s="8"/>
      <c r="F19" s="8"/>
    </row>
    <row r="20" spans="1:3" ht="12">
      <c r="A20" s="313"/>
      <c r="B20" s="6">
        <f>B19*(B16-B18)/1000</f>
        <v>2510.6</v>
      </c>
      <c r="C20" s="1" t="s">
        <v>56</v>
      </c>
    </row>
    <row r="21" spans="1:3" ht="12">
      <c r="A21" s="9" t="s">
        <v>44</v>
      </c>
      <c r="B21" s="10">
        <v>0.85</v>
      </c>
      <c r="C21" s="11" t="s">
        <v>45</v>
      </c>
    </row>
    <row r="22" spans="1:3" ht="12">
      <c r="A22" s="9" t="s">
        <v>47</v>
      </c>
      <c r="B22" s="14">
        <f>1.1/B21</f>
        <v>1.2941176470588236</v>
      </c>
      <c r="C22" s="1" t="s">
        <v>48</v>
      </c>
    </row>
    <row r="23" ht="12">
      <c r="F23" s="2" t="s">
        <v>57</v>
      </c>
    </row>
    <row r="24" spans="1:6" ht="12">
      <c r="A24" s="2" t="s">
        <v>50</v>
      </c>
      <c r="E24" s="3" t="s">
        <v>58</v>
      </c>
      <c r="F24" s="15">
        <v>1</v>
      </c>
    </row>
    <row r="25" spans="1:6" ht="12">
      <c r="A25" s="3" t="s">
        <v>59</v>
      </c>
      <c r="B25" s="4">
        <v>1.5</v>
      </c>
      <c r="C25" s="1" t="s">
        <v>60</v>
      </c>
      <c r="E25" s="3" t="s">
        <v>61</v>
      </c>
      <c r="F25" s="16">
        <f>B10</f>
        <v>0.9</v>
      </c>
    </row>
    <row r="26" spans="1:6" ht="12">
      <c r="A26" s="3" t="s">
        <v>62</v>
      </c>
      <c r="B26" s="4" t="s">
        <v>61</v>
      </c>
      <c r="E26" s="3" t="s">
        <v>63</v>
      </c>
      <c r="F26" s="16">
        <f>B21</f>
        <v>0.85</v>
      </c>
    </row>
    <row r="27" spans="1:6" ht="12">
      <c r="A27" s="9" t="s">
        <v>57</v>
      </c>
      <c r="B27" s="15">
        <f>IF(B26=E24,F24,IF(B26=E25,F25,IF(B26=E26,F26,IF(B26=E27,F27,IF(B26=E28,F28)))))</f>
        <v>0.9</v>
      </c>
      <c r="E27" s="9" t="s">
        <v>64</v>
      </c>
      <c r="F27" s="17">
        <f>B12</f>
        <v>0</v>
      </c>
    </row>
    <row r="28" spans="1:6" ht="12">
      <c r="A28" s="9" t="s">
        <v>47</v>
      </c>
      <c r="B28" s="14">
        <f>1.1/B25/B27</f>
        <v>0.8148148148148149</v>
      </c>
      <c r="C28" s="1" t="s">
        <v>48</v>
      </c>
      <c r="E28" s="3" t="s">
        <v>65</v>
      </c>
      <c r="F28" s="15">
        <f>3.6/9.77</f>
        <v>0.368474923234391</v>
      </c>
    </row>
    <row r="30" ht="12">
      <c r="A30" s="2" t="s">
        <v>51</v>
      </c>
    </row>
    <row r="31" spans="1:3" ht="12">
      <c r="A31" s="18" t="s">
        <v>47</v>
      </c>
      <c r="B31" s="19">
        <f>1.1/B10</f>
        <v>1.2222222222222223</v>
      </c>
      <c r="C31" s="1" t="s">
        <v>48</v>
      </c>
    </row>
    <row r="33" spans="1:5" ht="12">
      <c r="A33" s="2" t="s">
        <v>66</v>
      </c>
      <c r="E33" s="20"/>
    </row>
    <row r="34" s="1" customFormat="1" ht="12">
      <c r="A34" s="1" t="s">
        <v>67</v>
      </c>
    </row>
    <row r="35" s="1" customFormat="1" ht="12"/>
    <row r="36" s="1" customFormat="1" ht="12"/>
    <row r="37" s="1" customFormat="1" ht="12"/>
    <row r="38" s="1" customFormat="1" ht="12"/>
    <row r="39" s="1" customFormat="1" ht="12"/>
    <row r="40" s="1" customFormat="1" ht="12"/>
    <row r="41" s="1" customFormat="1" ht="12"/>
    <row r="42" s="1" customFormat="1" ht="12"/>
    <row r="43" s="1" customFormat="1" ht="12"/>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sheetData>
  <sheetProtection/>
  <mergeCells count="2">
    <mergeCell ref="A8:A9"/>
    <mergeCell ref="A19:A20"/>
  </mergeCells>
  <dataValidations count="1">
    <dataValidation type="list" allowBlank="1" showInputMessage="1" showErrorMessage="1" sqref="B26">
      <formula1>$E$24:$E$28</formula1>
    </dataValidation>
  </dataValidations>
  <printOptions horizontalCentered="1"/>
  <pageMargins left="0.7874015748031497" right="0.3937007874015748" top="0.7874015748031497" bottom="0.3937007874015748"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8" tint="0.5999900102615356"/>
  </sheetPr>
  <dimension ref="A1:L30"/>
  <sheetViews>
    <sheetView zoomScaleSheetLayoutView="100" zoomScalePageLayoutView="0" workbookViewId="0" topLeftCell="A1">
      <selection activeCell="L20" sqref="L20"/>
    </sheetView>
  </sheetViews>
  <sheetFormatPr defaultColWidth="10.625" defaultRowHeight="15.75" customHeight="1"/>
  <cols>
    <col min="1" max="16384" width="10.625" style="22" customWidth="1"/>
  </cols>
  <sheetData>
    <row r="1" ht="15.75" customHeight="1">
      <c r="A1" s="21" t="s">
        <v>68</v>
      </c>
    </row>
    <row r="3" spans="1:11" ht="15.75" customHeight="1">
      <c r="A3" s="23" t="s">
        <v>69</v>
      </c>
      <c r="B3" s="23"/>
      <c r="C3" s="23"/>
      <c r="E3" s="22" t="s">
        <v>70</v>
      </c>
      <c r="J3" s="22" t="s">
        <v>71</v>
      </c>
      <c r="K3" s="22" t="s">
        <v>72</v>
      </c>
    </row>
    <row r="4" spans="1:12" ht="15.75" customHeight="1">
      <c r="A4" s="24" t="s">
        <v>21</v>
      </c>
      <c r="B4" s="25">
        <v>500</v>
      </c>
      <c r="C4" s="26" t="s">
        <v>73</v>
      </c>
      <c r="E4" s="27"/>
      <c r="F4" s="27" t="s">
        <v>74</v>
      </c>
      <c r="I4" s="28" t="s">
        <v>75</v>
      </c>
      <c r="J4" s="29">
        <v>40.6</v>
      </c>
      <c r="K4" s="29">
        <v>45</v>
      </c>
      <c r="L4" s="22" t="s">
        <v>76</v>
      </c>
    </row>
    <row r="5" spans="1:12" ht="15.75" customHeight="1">
      <c r="A5" s="24" t="s">
        <v>22</v>
      </c>
      <c r="B5" s="25">
        <v>20</v>
      </c>
      <c r="C5" s="26" t="s">
        <v>77</v>
      </c>
      <c r="E5" s="27" t="s">
        <v>78</v>
      </c>
      <c r="F5" s="30" t="s">
        <v>23</v>
      </c>
      <c r="I5" s="28" t="s">
        <v>79</v>
      </c>
      <c r="J5" s="29">
        <v>41.5</v>
      </c>
      <c r="K5" s="29">
        <v>46</v>
      </c>
      <c r="L5" s="22" t="s">
        <v>76</v>
      </c>
    </row>
    <row r="6" spans="1:12" ht="15.75" customHeight="1">
      <c r="A6" s="24" t="s">
        <v>24</v>
      </c>
      <c r="B6" s="25">
        <f>300*602*4.186/1000</f>
        <v>755.9916</v>
      </c>
      <c r="C6" s="26" t="s">
        <v>80</v>
      </c>
      <c r="E6" s="27" t="s">
        <v>81</v>
      </c>
      <c r="F6" s="31">
        <f>IF(F5=I4,J4,IF(F5=I5,J5,J6))</f>
        <v>40.6</v>
      </c>
      <c r="G6" s="22" t="s">
        <v>76</v>
      </c>
      <c r="I6" s="27" t="s">
        <v>51</v>
      </c>
      <c r="J6" s="32"/>
      <c r="K6" s="32"/>
      <c r="L6" s="22" t="s">
        <v>76</v>
      </c>
    </row>
    <row r="7" spans="1:7" ht="15.75" customHeight="1">
      <c r="A7" s="24" t="s">
        <v>25</v>
      </c>
      <c r="B7" s="25">
        <f>300*4.186</f>
        <v>1255.8</v>
      </c>
      <c r="C7" s="26" t="s">
        <v>80</v>
      </c>
      <c r="E7" s="27" t="s">
        <v>82</v>
      </c>
      <c r="F7" s="31">
        <f>IF(F5=I4,K4,IF(F5=I5,K5,K6))</f>
        <v>45</v>
      </c>
      <c r="G7" s="22" t="s">
        <v>76</v>
      </c>
    </row>
    <row r="8" spans="1:3" ht="15.75" customHeight="1">
      <c r="A8" s="24" t="s">
        <v>83</v>
      </c>
      <c r="B8" s="25">
        <v>125</v>
      </c>
      <c r="C8" s="26" t="s">
        <v>84</v>
      </c>
    </row>
    <row r="9" spans="1:5" ht="15.75" customHeight="1">
      <c r="A9" s="23"/>
      <c r="B9" s="23"/>
      <c r="C9" s="23"/>
      <c r="E9" s="21" t="s">
        <v>85</v>
      </c>
    </row>
    <row r="10" spans="1:7" ht="15.75" customHeight="1">
      <c r="A10" s="28" t="s">
        <v>11</v>
      </c>
      <c r="B10" s="33">
        <f>+(B4-B5)*3.6/B8/F6</f>
        <v>0.3404926108374384</v>
      </c>
      <c r="C10" s="34" t="s">
        <v>86</v>
      </c>
      <c r="E10" s="27" t="s">
        <v>50</v>
      </c>
      <c r="F10" s="32">
        <v>0.7</v>
      </c>
      <c r="G10" s="21" t="s">
        <v>87</v>
      </c>
    </row>
    <row r="11" spans="1:6" ht="15.75" customHeight="1">
      <c r="A11" s="28" t="s">
        <v>88</v>
      </c>
      <c r="B11" s="33">
        <f>+B6/B8/F6</f>
        <v>0.1489638620689655</v>
      </c>
      <c r="C11" s="34" t="s">
        <v>86</v>
      </c>
      <c r="E11" s="27" t="s">
        <v>89</v>
      </c>
      <c r="F11" s="32">
        <v>0.49</v>
      </c>
    </row>
    <row r="12" spans="1:3" ht="15.75" customHeight="1">
      <c r="A12" s="28" t="s">
        <v>90</v>
      </c>
      <c r="B12" s="33">
        <f>+B7/B8/F6</f>
        <v>0.24744827586206897</v>
      </c>
      <c r="C12" s="34" t="s">
        <v>86</v>
      </c>
    </row>
    <row r="13" spans="1:3" ht="15.75" customHeight="1">
      <c r="A13" s="28" t="s">
        <v>91</v>
      </c>
      <c r="B13" s="35">
        <f>SUM(B10:B12)</f>
        <v>0.7369047487684729</v>
      </c>
      <c r="C13" s="34" t="s">
        <v>81</v>
      </c>
    </row>
    <row r="15" ht="15.75" customHeight="1">
      <c r="A15" s="36" t="s">
        <v>92</v>
      </c>
    </row>
    <row r="16" spans="1:3" ht="15.75" customHeight="1">
      <c r="A16" s="27" t="s">
        <v>93</v>
      </c>
      <c r="B16" s="32">
        <v>2</v>
      </c>
      <c r="C16" s="22" t="s">
        <v>94</v>
      </c>
    </row>
    <row r="17" spans="1:2" ht="15.75" customHeight="1">
      <c r="A17" s="37"/>
      <c r="B17" s="38"/>
    </row>
    <row r="18" s="37" customFormat="1" ht="15.75" customHeight="1">
      <c r="A18" s="39" t="s">
        <v>95</v>
      </c>
    </row>
    <row r="19" spans="1:4" ht="15.75" customHeight="1">
      <c r="A19" s="27"/>
      <c r="B19" s="27" t="s">
        <v>30</v>
      </c>
      <c r="C19" s="27" t="s">
        <v>31</v>
      </c>
      <c r="D19" s="27" t="s">
        <v>32</v>
      </c>
    </row>
    <row r="20" spans="1:5" ht="15.75" customHeight="1">
      <c r="A20" s="27" t="s">
        <v>96</v>
      </c>
      <c r="B20" s="27">
        <f>$B$8*$B$16</f>
        <v>250</v>
      </c>
      <c r="C20" s="27">
        <f>$B$8*$B$16</f>
        <v>250</v>
      </c>
      <c r="D20" s="27">
        <f>$B$8*$B$16</f>
        <v>250</v>
      </c>
      <c r="E20" s="22" t="s">
        <v>97</v>
      </c>
    </row>
    <row r="21" spans="1:5" ht="15.75" customHeight="1">
      <c r="A21" s="24" t="s">
        <v>21</v>
      </c>
      <c r="B21" s="40">
        <f>($B$4-$B$5)*$B$16</f>
        <v>960</v>
      </c>
      <c r="C21" s="40">
        <f>($B$4-$B$5)*$B$16</f>
        <v>960</v>
      </c>
      <c r="D21" s="40">
        <f>($B$4-$B$5)*$B$16</f>
        <v>960</v>
      </c>
      <c r="E21" s="37" t="s">
        <v>98</v>
      </c>
    </row>
    <row r="22" spans="1:5" ht="15.75" customHeight="1">
      <c r="A22" s="24" t="s">
        <v>24</v>
      </c>
      <c r="B22" s="25">
        <f>$B$6*$B$16</f>
        <v>1511.9832</v>
      </c>
      <c r="C22" s="25">
        <f>$B$6*$B$16</f>
        <v>1511.9832</v>
      </c>
      <c r="D22" s="25">
        <f>$B$6*$B$16</f>
        <v>1511.9832</v>
      </c>
      <c r="E22" s="26" t="s">
        <v>80</v>
      </c>
    </row>
    <row r="23" spans="1:5" ht="15.75" customHeight="1">
      <c r="A23" s="24" t="s">
        <v>25</v>
      </c>
      <c r="B23" s="25">
        <f>$B$7*$B$16*0.4</f>
        <v>1004.64</v>
      </c>
      <c r="C23" s="25">
        <f>$B$7*$B$16*0.4</f>
        <v>1004.64</v>
      </c>
      <c r="D23" s="25">
        <f>$B$7*$B$16*0.4</f>
        <v>1004.64</v>
      </c>
      <c r="E23" s="26" t="s">
        <v>80</v>
      </c>
    </row>
    <row r="24" spans="1:5" ht="15.75" customHeight="1">
      <c r="A24" s="24" t="s">
        <v>50</v>
      </c>
      <c r="B24" s="25">
        <f>$B$7*$B$16*$F$10*0</f>
        <v>0</v>
      </c>
      <c r="C24" s="25">
        <f>$B$7*$B$16*$F$10*0</f>
        <v>0</v>
      </c>
      <c r="D24" s="25">
        <f>$B$7*$B$16*$F$10*0</f>
        <v>0</v>
      </c>
      <c r="E24" s="26" t="s">
        <v>80</v>
      </c>
    </row>
    <row r="25" spans="1:5" ht="15.75" customHeight="1">
      <c r="A25" s="24" t="s">
        <v>51</v>
      </c>
      <c r="B25" s="25">
        <f>$B$7*$B$16*$F$11*0</f>
        <v>0</v>
      </c>
      <c r="C25" s="25">
        <f>$B$7*$B$16*$F$11*0</f>
        <v>0</v>
      </c>
      <c r="D25" s="25">
        <f>$B$7*$B$16*$F$11*0</f>
        <v>0</v>
      </c>
      <c r="E25" s="26" t="s">
        <v>80</v>
      </c>
    </row>
    <row r="28" s="21" customFormat="1" ht="15.75" customHeight="1">
      <c r="A28" s="21" t="s">
        <v>99</v>
      </c>
    </row>
    <row r="29" s="21" customFormat="1" ht="15.75" customHeight="1">
      <c r="A29" s="21" t="s">
        <v>100</v>
      </c>
    </row>
    <row r="30" s="21" customFormat="1" ht="15.75" customHeight="1">
      <c r="A30" s="21" t="s">
        <v>101</v>
      </c>
    </row>
    <row r="31" s="21" customFormat="1" ht="15.75" customHeight="1"/>
    <row r="32" s="21" customFormat="1" ht="15.75" customHeight="1"/>
    <row r="33" s="21" customFormat="1" ht="15.75" customHeight="1"/>
    <row r="34" s="21" customFormat="1" ht="15.75" customHeight="1"/>
    <row r="35" s="21" customFormat="1" ht="15.75" customHeight="1"/>
    <row r="36" s="21" customFormat="1" ht="15.75" customHeight="1"/>
    <row r="37" s="21" customFormat="1" ht="15.75" customHeight="1"/>
    <row r="38" s="21" customFormat="1" ht="15.75" customHeight="1"/>
    <row r="39" s="21" customFormat="1" ht="15.75" customHeight="1"/>
    <row r="40" s="21" customFormat="1" ht="15.75" customHeight="1"/>
    <row r="41" s="21" customFormat="1" ht="15.75" customHeight="1"/>
    <row r="42" s="21" customFormat="1" ht="15.75" customHeight="1"/>
    <row r="43" s="21" customFormat="1" ht="15.75" customHeight="1"/>
    <row r="44" s="21" customFormat="1" ht="15.75" customHeight="1"/>
    <row r="45" s="21" customFormat="1" ht="15.75" customHeight="1"/>
    <row r="46" s="21" customFormat="1" ht="15.75" customHeight="1"/>
    <row r="47" s="21" customFormat="1" ht="15.75" customHeight="1"/>
    <row r="48" s="21" customFormat="1" ht="15.75" customHeight="1"/>
    <row r="49" s="21" customFormat="1" ht="15.75" customHeight="1"/>
    <row r="50" s="21" customFormat="1" ht="15.75" customHeight="1"/>
    <row r="51" s="21" customFormat="1" ht="15.75" customHeight="1"/>
    <row r="52" s="21" customFormat="1" ht="15.75" customHeight="1"/>
    <row r="53" s="21" customFormat="1" ht="15.75" customHeight="1"/>
    <row r="54" s="21" customFormat="1" ht="15.75" customHeight="1"/>
    <row r="55" s="21" customFormat="1" ht="15.75" customHeight="1"/>
    <row r="56" s="21" customFormat="1" ht="15.75" customHeight="1"/>
    <row r="57" s="21" customFormat="1" ht="15.75" customHeight="1"/>
    <row r="58" s="21" customFormat="1" ht="15.75" customHeight="1"/>
    <row r="59" s="21" customFormat="1" ht="15.75" customHeight="1"/>
    <row r="60" s="21" customFormat="1" ht="15.75" customHeight="1"/>
    <row r="61" s="21" customFormat="1" ht="15.75" customHeight="1"/>
    <row r="62" s="21" customFormat="1" ht="15.75" customHeight="1"/>
    <row r="63" s="21" customFormat="1" ht="15.75" customHeight="1"/>
    <row r="64" s="21" customFormat="1" ht="15.75" customHeight="1"/>
    <row r="65" s="21" customFormat="1" ht="15.75" customHeight="1"/>
    <row r="66" s="21" customFormat="1" ht="15.75" customHeight="1"/>
    <row r="67" s="21" customFormat="1" ht="15.75" customHeight="1"/>
    <row r="68" s="21" customFormat="1" ht="15.75" customHeight="1"/>
    <row r="69" s="21" customFormat="1" ht="15.75" customHeight="1"/>
    <row r="70" s="21" customFormat="1" ht="15.75" customHeight="1"/>
    <row r="71" s="21" customFormat="1" ht="15.75" customHeight="1"/>
    <row r="72" s="21" customFormat="1" ht="15.75" customHeight="1"/>
    <row r="73" s="21" customFormat="1" ht="15.75" customHeight="1"/>
    <row r="74" s="21" customFormat="1" ht="15.75" customHeight="1"/>
    <row r="75" s="21" customFormat="1" ht="15.75" customHeight="1"/>
    <row r="76" s="21" customFormat="1" ht="15.75" customHeight="1"/>
    <row r="77" s="21" customFormat="1" ht="15.75" customHeight="1"/>
    <row r="78" s="21" customFormat="1" ht="15.75" customHeight="1"/>
    <row r="79" s="21" customFormat="1" ht="15.75" customHeight="1"/>
    <row r="80" s="21" customFormat="1" ht="15.75" customHeight="1"/>
    <row r="81" s="21" customFormat="1" ht="15.75" customHeight="1"/>
    <row r="82" s="21" customFormat="1" ht="15.75" customHeight="1"/>
    <row r="83" s="21" customFormat="1" ht="15.75" customHeight="1"/>
    <row r="84" s="21" customFormat="1" ht="15.75" customHeight="1"/>
    <row r="85" s="21" customFormat="1" ht="15.75" customHeight="1"/>
    <row r="86" s="21" customFormat="1" ht="15.75" customHeight="1"/>
    <row r="87" s="21" customFormat="1" ht="15.75" customHeight="1"/>
    <row r="88" s="21" customFormat="1" ht="15.75" customHeight="1"/>
    <row r="89" s="21" customFormat="1" ht="15.75" customHeight="1"/>
    <row r="90" s="21" customFormat="1" ht="15.75" customHeight="1"/>
    <row r="91" s="21" customFormat="1" ht="15.75" customHeight="1"/>
    <row r="92" s="21" customFormat="1" ht="15.75" customHeight="1"/>
    <row r="93" s="21" customFormat="1" ht="15.75" customHeight="1"/>
    <row r="94" s="21" customFormat="1" ht="15.75" customHeight="1"/>
    <row r="95" s="21" customFormat="1" ht="15.75" customHeight="1"/>
    <row r="96" s="21" customFormat="1" ht="15.75" customHeight="1"/>
    <row r="97" s="21" customFormat="1" ht="15.75" customHeight="1"/>
    <row r="98" s="21" customFormat="1" ht="15.75" customHeight="1"/>
    <row r="99" s="21" customFormat="1" ht="15.75" customHeight="1"/>
    <row r="100" s="21" customFormat="1" ht="15.75" customHeight="1"/>
    <row r="101" s="21" customFormat="1" ht="15.75" customHeight="1"/>
    <row r="102" s="21" customFormat="1" ht="15.75" customHeight="1"/>
    <row r="103" s="21" customFormat="1" ht="15.75" customHeight="1"/>
    <row r="104" s="21" customFormat="1" ht="15.75" customHeight="1"/>
    <row r="105" s="21" customFormat="1" ht="15.75" customHeight="1"/>
    <row r="106" s="21" customFormat="1" ht="15.75" customHeight="1"/>
    <row r="107" s="21" customFormat="1" ht="15.75" customHeight="1"/>
    <row r="108" s="21" customFormat="1" ht="15.75" customHeight="1"/>
    <row r="109" s="21" customFormat="1" ht="15.75" customHeight="1"/>
    <row r="110" s="21" customFormat="1" ht="15.75" customHeight="1"/>
    <row r="111" s="21" customFormat="1" ht="15.75" customHeight="1"/>
    <row r="112" s="21" customFormat="1" ht="15.75" customHeight="1"/>
    <row r="113" s="21" customFormat="1" ht="15.75" customHeight="1"/>
    <row r="114" s="21" customFormat="1" ht="15.75" customHeight="1"/>
    <row r="115" s="21" customFormat="1" ht="15.75" customHeight="1"/>
    <row r="116" s="21" customFormat="1" ht="15.75" customHeight="1"/>
    <row r="117" s="21" customFormat="1" ht="15.75" customHeight="1"/>
    <row r="118" s="21" customFormat="1" ht="15.75" customHeight="1"/>
    <row r="119" s="21" customFormat="1" ht="15.75" customHeight="1"/>
    <row r="120" s="21" customFormat="1" ht="15.75" customHeight="1"/>
    <row r="121" s="21" customFormat="1" ht="15.75" customHeight="1"/>
    <row r="122" s="21" customFormat="1" ht="15.75" customHeight="1"/>
    <row r="123" s="21" customFormat="1" ht="15.75" customHeight="1"/>
    <row r="124" s="21" customFormat="1" ht="15.75" customHeight="1"/>
    <row r="125" s="21" customFormat="1" ht="15.75" customHeight="1"/>
    <row r="126" s="21" customFormat="1" ht="15.75" customHeight="1"/>
    <row r="127" s="21" customFormat="1" ht="15.75" customHeight="1"/>
    <row r="128" s="21" customFormat="1" ht="15.75" customHeight="1"/>
    <row r="129" s="21" customFormat="1" ht="15.75" customHeight="1"/>
    <row r="130" s="21" customFormat="1" ht="15.75" customHeight="1"/>
    <row r="131" s="21" customFormat="1" ht="15.75" customHeight="1"/>
    <row r="132" s="21" customFormat="1" ht="15.75" customHeight="1"/>
    <row r="133" s="21" customFormat="1" ht="15.75" customHeight="1"/>
    <row r="134" s="21" customFormat="1" ht="15.75" customHeight="1"/>
    <row r="135" s="21" customFormat="1" ht="15.75" customHeight="1"/>
    <row r="136" s="21" customFormat="1" ht="15.75" customHeight="1"/>
    <row r="137" s="21" customFormat="1" ht="15.75" customHeight="1"/>
    <row r="138" s="21" customFormat="1" ht="15.75" customHeight="1"/>
    <row r="139" s="21" customFormat="1" ht="15.75" customHeight="1"/>
    <row r="140" s="21" customFormat="1" ht="15.75" customHeight="1"/>
    <row r="141" s="21" customFormat="1" ht="15.75" customHeight="1"/>
    <row r="142" s="21" customFormat="1" ht="15.75" customHeight="1"/>
    <row r="143" s="21" customFormat="1" ht="15.75" customHeight="1"/>
    <row r="144" s="21" customFormat="1" ht="15.75" customHeight="1"/>
    <row r="145" s="21" customFormat="1" ht="15.75" customHeight="1"/>
    <row r="146" s="21" customFormat="1" ht="15.75" customHeight="1"/>
    <row r="147" s="21" customFormat="1" ht="15.75" customHeight="1"/>
    <row r="148" s="21" customFormat="1" ht="15.75" customHeight="1"/>
    <row r="149" s="21" customFormat="1" ht="15.75" customHeight="1"/>
    <row r="150" s="21" customFormat="1" ht="15.75" customHeight="1"/>
    <row r="151" s="21" customFormat="1" ht="15.75" customHeight="1"/>
    <row r="152" s="21" customFormat="1" ht="15.75" customHeight="1"/>
    <row r="153" s="21" customFormat="1" ht="15.75" customHeight="1"/>
    <row r="154" s="21" customFormat="1" ht="15.75" customHeight="1"/>
  </sheetData>
  <sheetProtection/>
  <dataValidations count="1">
    <dataValidation type="list" allowBlank="1" showInputMessage="1" showErrorMessage="1" sqref="F5">
      <formula1>$I$4:$I$6</formula1>
    </dataValidation>
  </dataValidations>
  <printOptions horizontalCentered="1"/>
  <pageMargins left="0.7874015748031497" right="0.3937007874015748"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2:AR120"/>
  <sheetViews>
    <sheetView zoomScalePageLayoutView="0" workbookViewId="0" topLeftCell="A1">
      <selection activeCell="AX12" sqref="AX12"/>
    </sheetView>
  </sheetViews>
  <sheetFormatPr defaultColWidth="9.00390625" defaultRowHeight="13.5"/>
  <cols>
    <col min="1" max="44" width="2.125" style="92" customWidth="1"/>
    <col min="45" max="16384" width="9.00390625" style="92" customWidth="1"/>
  </cols>
  <sheetData>
    <row r="2" spans="3:44" ht="13.5">
      <c r="C2" s="317" t="s">
        <v>203</v>
      </c>
      <c r="D2" s="318"/>
      <c r="E2" s="318"/>
      <c r="F2" s="318"/>
      <c r="G2" s="318"/>
      <c r="H2" s="318"/>
      <c r="I2" s="318"/>
      <c r="J2" s="318"/>
      <c r="K2" s="318"/>
      <c r="L2" s="318"/>
      <c r="M2" s="318"/>
      <c r="N2" s="318"/>
      <c r="O2" s="318"/>
      <c r="P2" s="318"/>
      <c r="Q2" s="318"/>
      <c r="R2" s="318"/>
      <c r="S2" s="318"/>
      <c r="T2" s="319"/>
      <c r="AC2" s="129"/>
      <c r="AD2" s="129"/>
      <c r="AE2" s="129"/>
      <c r="AF2" s="129"/>
      <c r="AG2" s="129"/>
      <c r="AH2" s="129"/>
      <c r="AI2" s="129"/>
      <c r="AJ2" s="129"/>
      <c r="AK2" s="129"/>
      <c r="AL2" s="129"/>
      <c r="AM2" s="129"/>
      <c r="AN2" s="129"/>
      <c r="AO2" s="129"/>
      <c r="AP2" s="129"/>
      <c r="AQ2" s="129"/>
      <c r="AR2" s="129"/>
    </row>
    <row r="3" spans="3:44" ht="13.5">
      <c r="C3" s="320"/>
      <c r="D3" s="321"/>
      <c r="E3" s="324"/>
      <c r="F3" s="324"/>
      <c r="G3" s="324"/>
      <c r="H3" s="324"/>
      <c r="I3" s="324"/>
      <c r="J3" s="324"/>
      <c r="K3" s="324"/>
      <c r="L3" s="324"/>
      <c r="M3" s="326"/>
      <c r="N3" s="321"/>
      <c r="O3" s="328"/>
      <c r="P3" s="329"/>
      <c r="Q3" s="328"/>
      <c r="R3" s="332"/>
      <c r="S3" s="329"/>
      <c r="T3" s="334"/>
      <c r="AC3" s="130"/>
      <c r="AD3" s="130"/>
      <c r="AE3" s="130"/>
      <c r="AF3" s="130"/>
      <c r="AG3" s="130"/>
      <c r="AH3" s="130"/>
      <c r="AI3" s="130"/>
      <c r="AJ3" s="130"/>
      <c r="AK3" s="130"/>
      <c r="AL3" s="130"/>
      <c r="AM3" s="130"/>
      <c r="AN3" s="130"/>
      <c r="AO3" s="130"/>
      <c r="AP3" s="130"/>
      <c r="AQ3" s="130"/>
      <c r="AR3" s="130"/>
    </row>
    <row r="4" spans="3:32" ht="13.5">
      <c r="C4" s="322"/>
      <c r="D4" s="323"/>
      <c r="E4" s="325"/>
      <c r="F4" s="325"/>
      <c r="G4" s="325"/>
      <c r="H4" s="325"/>
      <c r="I4" s="325"/>
      <c r="J4" s="325"/>
      <c r="K4" s="325"/>
      <c r="L4" s="325"/>
      <c r="M4" s="327"/>
      <c r="N4" s="323"/>
      <c r="O4" s="330"/>
      <c r="P4" s="331"/>
      <c r="Q4" s="330"/>
      <c r="R4" s="333"/>
      <c r="S4" s="331"/>
      <c r="T4" s="326"/>
      <c r="AC4" s="130"/>
      <c r="AD4" s="130"/>
      <c r="AE4" s="130"/>
      <c r="AF4" s="130"/>
    </row>
    <row r="5" spans="29:43" ht="13.5">
      <c r="AC5" s="130"/>
      <c r="AD5" s="130"/>
      <c r="AE5" s="130"/>
      <c r="AF5" s="131"/>
      <c r="AG5" s="130"/>
      <c r="AI5" s="132"/>
      <c r="AJ5" s="132"/>
      <c r="AK5" s="132"/>
      <c r="AL5" s="132"/>
      <c r="AM5" s="132"/>
      <c r="AN5" s="132"/>
      <c r="AO5" s="132"/>
      <c r="AP5" s="132"/>
      <c r="AQ5" s="130"/>
    </row>
    <row r="6" spans="29:42" ht="13.5">
      <c r="AC6" s="130"/>
      <c r="AD6" s="130"/>
      <c r="AE6" s="130"/>
      <c r="AF6" s="133"/>
      <c r="AG6" s="134"/>
      <c r="AH6" s="134"/>
      <c r="AI6" s="335" t="s">
        <v>263</v>
      </c>
      <c r="AJ6" s="335"/>
      <c r="AK6" s="335"/>
      <c r="AL6" s="335"/>
      <c r="AM6" s="335"/>
      <c r="AN6" s="335"/>
      <c r="AO6" s="335"/>
      <c r="AP6" s="335"/>
    </row>
    <row r="7" spans="29:42" ht="13.5">
      <c r="AC7" s="130"/>
      <c r="AD7" s="130"/>
      <c r="AE7" s="130"/>
      <c r="AF7" s="136"/>
      <c r="AG7" s="137"/>
      <c r="AH7" s="137"/>
      <c r="AI7" s="135"/>
      <c r="AJ7" s="135"/>
      <c r="AK7" s="135"/>
      <c r="AL7" s="135"/>
      <c r="AM7" s="135"/>
      <c r="AN7" s="135"/>
      <c r="AO7" s="135"/>
      <c r="AP7" s="135"/>
    </row>
    <row r="8" spans="3:44" ht="13.5">
      <c r="C8" s="92" t="s">
        <v>264</v>
      </c>
      <c r="AC8" s="130"/>
      <c r="AD8" s="130"/>
      <c r="AE8" s="130"/>
      <c r="AF8" s="130"/>
      <c r="AG8" s="130"/>
      <c r="AH8" s="130"/>
      <c r="AI8" s="130"/>
      <c r="AJ8" s="130"/>
      <c r="AK8" s="130"/>
      <c r="AL8" s="130"/>
      <c r="AM8" s="130"/>
      <c r="AN8" s="130"/>
      <c r="AO8" s="130"/>
      <c r="AP8" s="130"/>
      <c r="AQ8" s="130"/>
      <c r="AR8" s="130"/>
    </row>
    <row r="9" spans="29:44" ht="13.5">
      <c r="AC9" s="130"/>
      <c r="AD9" s="130"/>
      <c r="AE9" s="130"/>
      <c r="AF9" s="130"/>
      <c r="AG9" s="130"/>
      <c r="AH9" s="130"/>
      <c r="AI9" s="130"/>
      <c r="AJ9" s="130"/>
      <c r="AK9" s="130"/>
      <c r="AL9" s="130"/>
      <c r="AM9" s="130"/>
      <c r="AN9" s="130"/>
      <c r="AO9" s="130"/>
      <c r="AP9" s="130"/>
      <c r="AQ9" s="130"/>
      <c r="AR9" s="130"/>
    </row>
    <row r="10" spans="29:44" ht="13.5">
      <c r="AC10" s="130"/>
      <c r="AD10" s="130"/>
      <c r="AE10" s="130"/>
      <c r="AF10" s="130"/>
      <c r="AG10" s="130"/>
      <c r="AH10" s="130"/>
      <c r="AI10" s="130"/>
      <c r="AJ10" s="130"/>
      <c r="AK10" s="130"/>
      <c r="AL10" s="130"/>
      <c r="AM10" s="130"/>
      <c r="AN10" s="130"/>
      <c r="AO10" s="130"/>
      <c r="AP10" s="130"/>
      <c r="AQ10" s="130"/>
      <c r="AR10" s="130"/>
    </row>
    <row r="11" spans="15:42" ht="13.5" customHeight="1">
      <c r="O11" s="336" t="s">
        <v>265</v>
      </c>
      <c r="P11" s="336"/>
      <c r="Q11" s="336"/>
      <c r="R11" s="336"/>
      <c r="S11" s="336"/>
      <c r="T11" s="336"/>
      <c r="U11" s="337" t="s">
        <v>266</v>
      </c>
      <c r="V11" s="337"/>
      <c r="W11" s="337"/>
      <c r="X11" s="337"/>
      <c r="Y11" s="337"/>
      <c r="Z11" s="337"/>
      <c r="AA11" s="337"/>
      <c r="AB11" s="337"/>
      <c r="AC11" s="337"/>
      <c r="AD11" s="337"/>
      <c r="AE11" s="337"/>
      <c r="AF11" s="337"/>
      <c r="AG11" s="337"/>
      <c r="AH11" s="337"/>
      <c r="AI11" s="337"/>
      <c r="AJ11" s="337"/>
      <c r="AK11" s="337"/>
      <c r="AL11" s="337"/>
      <c r="AM11" s="337"/>
      <c r="AN11" s="338" t="s">
        <v>211</v>
      </c>
      <c r="AO11" s="338"/>
      <c r="AP11" s="338"/>
    </row>
    <row r="12" spans="21:42" ht="13.5" customHeight="1">
      <c r="U12" s="337"/>
      <c r="V12" s="337"/>
      <c r="W12" s="337"/>
      <c r="X12" s="337"/>
      <c r="Y12" s="337"/>
      <c r="Z12" s="337"/>
      <c r="AA12" s="337"/>
      <c r="AB12" s="337"/>
      <c r="AC12" s="337"/>
      <c r="AD12" s="337"/>
      <c r="AE12" s="337"/>
      <c r="AF12" s="337"/>
      <c r="AG12" s="337"/>
      <c r="AH12" s="337"/>
      <c r="AI12" s="337"/>
      <c r="AJ12" s="337"/>
      <c r="AK12" s="337"/>
      <c r="AL12" s="337"/>
      <c r="AM12" s="337"/>
      <c r="AN12" s="338"/>
      <c r="AO12" s="338"/>
      <c r="AP12" s="338"/>
    </row>
    <row r="13" spans="21:42" ht="13.5">
      <c r="U13" s="339" t="s">
        <v>267</v>
      </c>
      <c r="V13" s="339"/>
      <c r="W13" s="339"/>
      <c r="X13" s="339"/>
      <c r="Y13" s="339"/>
      <c r="Z13" s="339"/>
      <c r="AA13" s="339"/>
      <c r="AB13" s="339"/>
      <c r="AC13" s="339"/>
      <c r="AD13" s="339"/>
      <c r="AE13" s="339"/>
      <c r="AF13" s="339"/>
      <c r="AG13" s="339"/>
      <c r="AH13" s="339"/>
      <c r="AI13" s="339"/>
      <c r="AJ13" s="339"/>
      <c r="AK13" s="339"/>
      <c r="AL13" s="339"/>
      <c r="AM13" s="339"/>
      <c r="AN13" s="338"/>
      <c r="AO13" s="338"/>
      <c r="AP13" s="338"/>
    </row>
    <row r="14" spans="21:42" ht="15.75" customHeight="1">
      <c r="U14" s="339" t="s">
        <v>268</v>
      </c>
      <c r="V14" s="339"/>
      <c r="W14" s="339"/>
      <c r="X14" s="339"/>
      <c r="Y14" s="339"/>
      <c r="Z14" s="339"/>
      <c r="AA14" s="339"/>
      <c r="AB14" s="339"/>
      <c r="AC14" s="339"/>
      <c r="AD14" s="339"/>
      <c r="AE14" s="339"/>
      <c r="AF14" s="339"/>
      <c r="AG14" s="339"/>
      <c r="AH14" s="339"/>
      <c r="AI14" s="339"/>
      <c r="AJ14" s="339"/>
      <c r="AK14" s="339"/>
      <c r="AL14" s="339"/>
      <c r="AM14" s="339"/>
      <c r="AN14" s="338"/>
      <c r="AO14" s="338"/>
      <c r="AP14" s="338"/>
    </row>
    <row r="15" spans="21:42" ht="12.75" customHeight="1">
      <c r="U15" s="132"/>
      <c r="V15" s="134"/>
      <c r="W15" s="134"/>
      <c r="X15" s="134"/>
      <c r="Y15" s="134"/>
      <c r="Z15" s="134"/>
      <c r="AA15" s="134"/>
      <c r="AB15" s="134"/>
      <c r="AC15" s="134"/>
      <c r="AD15" s="134"/>
      <c r="AE15" s="134"/>
      <c r="AF15" s="134"/>
      <c r="AG15" s="134"/>
      <c r="AH15" s="134"/>
      <c r="AI15" s="134"/>
      <c r="AJ15" s="134"/>
      <c r="AK15" s="134"/>
      <c r="AL15" s="134"/>
      <c r="AM15" s="134"/>
      <c r="AN15" s="138"/>
      <c r="AO15" s="138"/>
      <c r="AP15" s="138"/>
    </row>
    <row r="16" spans="21:42" ht="12.75" customHeight="1">
      <c r="U16" s="132"/>
      <c r="V16" s="134"/>
      <c r="W16" s="134"/>
      <c r="X16" s="134"/>
      <c r="Y16" s="134"/>
      <c r="Z16" s="134"/>
      <c r="AA16" s="134"/>
      <c r="AB16" s="134"/>
      <c r="AC16" s="134"/>
      <c r="AD16" s="134"/>
      <c r="AE16" s="134"/>
      <c r="AF16" s="134"/>
      <c r="AG16" s="134"/>
      <c r="AH16" s="134"/>
      <c r="AI16" s="134"/>
      <c r="AJ16" s="134"/>
      <c r="AK16" s="134"/>
      <c r="AL16" s="134"/>
      <c r="AM16" s="134"/>
      <c r="AN16" s="138"/>
      <c r="AO16" s="138"/>
      <c r="AP16" s="138"/>
    </row>
    <row r="17" spans="1:44" ht="19.5" customHeight="1">
      <c r="A17" s="340" t="s">
        <v>285</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row>
    <row r="18" spans="1:44" ht="19.5" customHeight="1">
      <c r="A18" s="247" t="s">
        <v>269</v>
      </c>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row>
    <row r="19" spans="1:44" ht="13.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row>
    <row r="20" ht="13.5" customHeight="1"/>
    <row r="21" ht="15" customHeight="1">
      <c r="C21" s="92" t="s">
        <v>270</v>
      </c>
    </row>
    <row r="22" spans="3:42" ht="13.5" customHeight="1">
      <c r="C22" s="341" t="s">
        <v>271</v>
      </c>
      <c r="D22" s="341"/>
      <c r="E22" s="341"/>
      <c r="F22" s="341"/>
      <c r="G22" s="341"/>
      <c r="H22" s="341"/>
      <c r="I22" s="341"/>
      <c r="J22" s="341"/>
      <c r="K22" s="341"/>
      <c r="L22" s="342" t="s">
        <v>272</v>
      </c>
      <c r="M22" s="343"/>
      <c r="N22" s="343"/>
      <c r="O22" s="344"/>
      <c r="P22" s="348" t="s">
        <v>273</v>
      </c>
      <c r="Q22" s="349"/>
      <c r="R22" s="349"/>
      <c r="S22" s="349"/>
      <c r="T22" s="349"/>
      <c r="U22" s="349"/>
      <c r="V22" s="349"/>
      <c r="W22" s="352" t="s">
        <v>274</v>
      </c>
      <c r="X22" s="353"/>
      <c r="Y22" s="353"/>
      <c r="Z22" s="353"/>
      <c r="AA22" s="353"/>
      <c r="AB22" s="353"/>
      <c r="AC22" s="353"/>
      <c r="AD22" s="353"/>
      <c r="AE22" s="353"/>
      <c r="AF22" s="354"/>
      <c r="AG22" s="355" t="s">
        <v>275</v>
      </c>
      <c r="AH22" s="356"/>
      <c r="AI22" s="356"/>
      <c r="AJ22" s="356"/>
      <c r="AK22" s="356"/>
      <c r="AL22" s="356"/>
      <c r="AM22" s="356"/>
      <c r="AN22" s="356"/>
      <c r="AO22" s="356"/>
      <c r="AP22" s="357"/>
    </row>
    <row r="23" spans="3:42" ht="13.5" customHeight="1">
      <c r="C23" s="341"/>
      <c r="D23" s="341"/>
      <c r="E23" s="341"/>
      <c r="F23" s="341"/>
      <c r="G23" s="341"/>
      <c r="H23" s="341"/>
      <c r="I23" s="341"/>
      <c r="J23" s="341"/>
      <c r="K23" s="341"/>
      <c r="L23" s="345"/>
      <c r="M23" s="346"/>
      <c r="N23" s="346"/>
      <c r="O23" s="347"/>
      <c r="P23" s="350"/>
      <c r="Q23" s="351"/>
      <c r="R23" s="351"/>
      <c r="S23" s="351"/>
      <c r="T23" s="351"/>
      <c r="U23" s="351"/>
      <c r="V23" s="351"/>
      <c r="W23" s="358" t="s">
        <v>276</v>
      </c>
      <c r="X23" s="359"/>
      <c r="Y23" s="359"/>
      <c r="Z23" s="359"/>
      <c r="AA23" s="359"/>
      <c r="AB23" s="359"/>
      <c r="AC23" s="359"/>
      <c r="AD23" s="359"/>
      <c r="AE23" s="359"/>
      <c r="AF23" s="360"/>
      <c r="AG23" s="361" t="s">
        <v>276</v>
      </c>
      <c r="AH23" s="362"/>
      <c r="AI23" s="362"/>
      <c r="AJ23" s="362"/>
      <c r="AK23" s="362"/>
      <c r="AL23" s="362"/>
      <c r="AM23" s="362"/>
      <c r="AN23" s="362"/>
      <c r="AO23" s="362"/>
      <c r="AP23" s="363"/>
    </row>
    <row r="24" spans="1:44" ht="13.5" customHeight="1">
      <c r="A24" s="139"/>
      <c r="B24" s="139"/>
      <c r="C24" s="341" t="s">
        <v>277</v>
      </c>
      <c r="D24" s="341"/>
      <c r="E24" s="341"/>
      <c r="F24" s="341"/>
      <c r="G24" s="341"/>
      <c r="H24" s="341"/>
      <c r="I24" s="341"/>
      <c r="J24" s="341"/>
      <c r="K24" s="341"/>
      <c r="L24" s="341" t="s">
        <v>224</v>
      </c>
      <c r="M24" s="341"/>
      <c r="N24" s="341"/>
      <c r="O24" s="341"/>
      <c r="P24" s="364">
        <f>'計測データ'!R3</f>
        <v>0</v>
      </c>
      <c r="Q24" s="365"/>
      <c r="R24" s="365"/>
      <c r="S24" s="365"/>
      <c r="T24" s="365"/>
      <c r="U24" s="365"/>
      <c r="V24" s="365"/>
      <c r="W24" s="368">
        <f>'計測データ'!T24</f>
        <v>78.2777647058823</v>
      </c>
      <c r="X24" s="369"/>
      <c r="Y24" s="369"/>
      <c r="Z24" s="369"/>
      <c r="AA24" s="369"/>
      <c r="AB24" s="369"/>
      <c r="AC24" s="369"/>
      <c r="AD24" s="369"/>
      <c r="AE24" s="369"/>
      <c r="AF24" s="370"/>
      <c r="AG24" s="368">
        <f>'計測データ (今年度見込み)'!T24</f>
        <v>13.04629411764705</v>
      </c>
      <c r="AH24" s="369"/>
      <c r="AI24" s="369"/>
      <c r="AJ24" s="369"/>
      <c r="AK24" s="369"/>
      <c r="AL24" s="369"/>
      <c r="AM24" s="369"/>
      <c r="AN24" s="369"/>
      <c r="AO24" s="369"/>
      <c r="AP24" s="370"/>
      <c r="AQ24" s="139"/>
      <c r="AR24" s="139"/>
    </row>
    <row r="25" spans="1:44" ht="13.5" customHeight="1">
      <c r="A25" s="139"/>
      <c r="B25" s="139"/>
      <c r="C25" s="341"/>
      <c r="D25" s="341"/>
      <c r="E25" s="341"/>
      <c r="F25" s="341"/>
      <c r="G25" s="341"/>
      <c r="H25" s="341"/>
      <c r="I25" s="341"/>
      <c r="J25" s="341"/>
      <c r="K25" s="341"/>
      <c r="L25" s="341"/>
      <c r="M25" s="341"/>
      <c r="N25" s="341"/>
      <c r="O25" s="341"/>
      <c r="P25" s="366"/>
      <c r="Q25" s="367"/>
      <c r="R25" s="367"/>
      <c r="S25" s="367"/>
      <c r="T25" s="367"/>
      <c r="U25" s="367"/>
      <c r="V25" s="367"/>
      <c r="W25" s="148">
        <f>IF(ISERROR(W24/G24),"",W24/G24)</f>
      </c>
      <c r="X25" s="147" t="s">
        <v>286</v>
      </c>
      <c r="Y25" s="371" t="e">
        <f>W24/P24</f>
        <v>#DIV/0!</v>
      </c>
      <c r="Z25" s="371"/>
      <c r="AA25" s="371"/>
      <c r="AB25" s="371"/>
      <c r="AC25" s="371"/>
      <c r="AD25" s="371"/>
      <c r="AE25" s="149" t="s">
        <v>287</v>
      </c>
      <c r="AF25" s="150"/>
      <c r="AG25" s="146"/>
      <c r="AH25" s="151" t="s">
        <v>288</v>
      </c>
      <c r="AI25" s="372" t="e">
        <f>AG24/P24</f>
        <v>#DIV/0!</v>
      </c>
      <c r="AJ25" s="372"/>
      <c r="AK25" s="372"/>
      <c r="AL25" s="372"/>
      <c r="AM25" s="372"/>
      <c r="AN25" s="372"/>
      <c r="AO25" s="140" t="s">
        <v>217</v>
      </c>
      <c r="AP25" s="141"/>
      <c r="AQ25" s="139"/>
      <c r="AR25" s="139"/>
    </row>
    <row r="26" spans="1:44" ht="13.5" customHeight="1">
      <c r="A26" s="139"/>
      <c r="B26" s="139"/>
      <c r="C26" s="341" t="s">
        <v>279</v>
      </c>
      <c r="D26" s="341"/>
      <c r="E26" s="341"/>
      <c r="F26" s="341"/>
      <c r="G26" s="341"/>
      <c r="H26" s="341"/>
      <c r="I26" s="341"/>
      <c r="J26" s="341"/>
      <c r="K26" s="341"/>
      <c r="L26" s="341" t="s">
        <v>280</v>
      </c>
      <c r="M26" s="341"/>
      <c r="N26" s="341"/>
      <c r="O26" s="341"/>
      <c r="P26" s="364">
        <f>'計測データ'!R4</f>
        <v>0</v>
      </c>
      <c r="Q26" s="365"/>
      <c r="R26" s="365"/>
      <c r="S26" s="365"/>
      <c r="T26" s="365"/>
      <c r="U26" s="365"/>
      <c r="V26" s="365"/>
      <c r="W26" s="314">
        <f>'計測データ'!V24</f>
        <v>0.13030488901109352</v>
      </c>
      <c r="X26" s="404"/>
      <c r="Y26" s="404"/>
      <c r="Z26" s="404"/>
      <c r="AA26" s="404"/>
      <c r="AB26" s="404"/>
      <c r="AC26" s="404"/>
      <c r="AD26" s="404"/>
      <c r="AE26" s="404"/>
      <c r="AF26" s="405"/>
      <c r="AG26" s="314">
        <f>'計測データ (今年度見込み)'!V24</f>
        <v>0.13030488901109352</v>
      </c>
      <c r="AH26" s="315"/>
      <c r="AI26" s="315"/>
      <c r="AJ26" s="315"/>
      <c r="AK26" s="315"/>
      <c r="AL26" s="315"/>
      <c r="AM26" s="315"/>
      <c r="AN26" s="315"/>
      <c r="AO26" s="315"/>
      <c r="AP26" s="316"/>
      <c r="AQ26" s="139"/>
      <c r="AR26" s="139"/>
    </row>
    <row r="27" spans="1:44" ht="13.5" customHeight="1">
      <c r="A27" s="139"/>
      <c r="B27" s="139"/>
      <c r="C27" s="341"/>
      <c r="D27" s="341"/>
      <c r="E27" s="341"/>
      <c r="F27" s="341"/>
      <c r="G27" s="341"/>
      <c r="H27" s="341"/>
      <c r="I27" s="341"/>
      <c r="J27" s="341"/>
      <c r="K27" s="341"/>
      <c r="L27" s="341"/>
      <c r="M27" s="341"/>
      <c r="N27" s="341"/>
      <c r="O27" s="341"/>
      <c r="P27" s="366"/>
      <c r="Q27" s="367"/>
      <c r="R27" s="367"/>
      <c r="S27" s="367"/>
      <c r="T27" s="367"/>
      <c r="U27" s="367"/>
      <c r="V27" s="367"/>
      <c r="W27" s="148">
        <f>IF(ISERROR(W26/G26),"",W26/G26)</f>
      </c>
      <c r="X27" s="147" t="s">
        <v>278</v>
      </c>
      <c r="Y27" s="371" t="e">
        <f>W26/P26*100</f>
        <v>#DIV/0!</v>
      </c>
      <c r="Z27" s="371"/>
      <c r="AA27" s="371"/>
      <c r="AB27" s="371"/>
      <c r="AC27" s="371"/>
      <c r="AD27" s="371"/>
      <c r="AE27" s="149" t="s">
        <v>217</v>
      </c>
      <c r="AF27" s="150"/>
      <c r="AG27" s="146"/>
      <c r="AH27" s="152" t="s">
        <v>215</v>
      </c>
      <c r="AI27" s="372" t="e">
        <f>AG26/P26*100</f>
        <v>#DIV/0!</v>
      </c>
      <c r="AJ27" s="372"/>
      <c r="AK27" s="372"/>
      <c r="AL27" s="372"/>
      <c r="AM27" s="372"/>
      <c r="AN27" s="372"/>
      <c r="AO27" s="142" t="s">
        <v>217</v>
      </c>
      <c r="AP27" s="143"/>
      <c r="AQ27" s="139"/>
      <c r="AR27" s="139"/>
    </row>
    <row r="28" spans="1:44" ht="13.5" customHeight="1">
      <c r="A28" s="139"/>
      <c r="B28" s="139"/>
      <c r="C28" s="139"/>
      <c r="D28" s="139"/>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39"/>
      <c r="AR28" s="139"/>
    </row>
    <row r="29" ht="15" customHeight="1">
      <c r="C29" s="92" t="s">
        <v>281</v>
      </c>
    </row>
    <row r="30" spans="3:42" ht="13.5" customHeight="1">
      <c r="C30" s="373"/>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34"/>
    </row>
    <row r="31" spans="3:42" ht="13.5" customHeight="1">
      <c r="C31" s="374"/>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6"/>
    </row>
    <row r="32" spans="3:42" ht="13.5" customHeight="1">
      <c r="C32" s="374"/>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6"/>
    </row>
    <row r="33" spans="3:42" ht="13.5" customHeight="1">
      <c r="C33" s="374"/>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6"/>
    </row>
    <row r="34" spans="3:42" ht="13.5" customHeight="1">
      <c r="C34" s="374"/>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6"/>
    </row>
    <row r="35" spans="3:42" ht="13.5" customHeight="1">
      <c r="C35" s="374"/>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6"/>
    </row>
    <row r="36" spans="3:42" ht="13.5" customHeight="1">
      <c r="C36" s="374"/>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6"/>
    </row>
    <row r="37" spans="3:42" ht="13.5" customHeight="1">
      <c r="C37" s="374"/>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6"/>
    </row>
    <row r="38" spans="3:42" ht="13.5" customHeight="1">
      <c r="C38" s="374"/>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6"/>
    </row>
    <row r="39" spans="3:42" ht="13.5" customHeight="1">
      <c r="C39" s="374"/>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6"/>
    </row>
    <row r="40" spans="3:42" ht="13.5" customHeight="1">
      <c r="C40" s="374"/>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6"/>
    </row>
    <row r="41" spans="3:42" ht="13.5" customHeight="1">
      <c r="C41" s="374"/>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6"/>
    </row>
    <row r="42" spans="3:42" ht="13.5" customHeight="1">
      <c r="C42" s="374"/>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6"/>
    </row>
    <row r="43" spans="3:42" ht="13.5" customHeight="1">
      <c r="C43" s="374"/>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6"/>
    </row>
    <row r="44" spans="3:42" ht="13.5" customHeight="1">
      <c r="C44" s="374"/>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6"/>
    </row>
    <row r="45" spans="3:42" ht="13.5" customHeight="1">
      <c r="C45" s="374"/>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6"/>
    </row>
    <row r="46" spans="3:42" ht="13.5" customHeight="1">
      <c r="C46" s="374"/>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6"/>
    </row>
    <row r="47" spans="3:42" ht="13.5" customHeight="1">
      <c r="C47" s="374"/>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6"/>
    </row>
    <row r="48" spans="3:42" ht="13.5" customHeight="1">
      <c r="C48" s="374"/>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6"/>
    </row>
    <row r="49" spans="3:42" ht="13.5" customHeight="1">
      <c r="C49" s="374"/>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6"/>
    </row>
    <row r="50" spans="3:42" ht="13.5" customHeight="1">
      <c r="C50" s="374"/>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6"/>
    </row>
    <row r="51" spans="3:42" ht="13.5" customHeight="1">
      <c r="C51" s="374"/>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6"/>
    </row>
    <row r="52" spans="3:42" ht="13.5" customHeight="1">
      <c r="C52" s="374"/>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6"/>
    </row>
    <row r="53" spans="3:42" ht="13.5" customHeight="1">
      <c r="C53" s="374"/>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6"/>
    </row>
    <row r="54" spans="3:42" ht="13.5" customHeight="1">
      <c r="C54" s="374"/>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6"/>
    </row>
    <row r="55" spans="3:42" ht="13.5" customHeight="1">
      <c r="C55" s="374"/>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6"/>
    </row>
    <row r="56" spans="3:42" ht="13.5" customHeight="1">
      <c r="C56" s="374"/>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6"/>
    </row>
    <row r="57" spans="3:42" ht="13.5" customHeight="1">
      <c r="C57" s="374"/>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6"/>
    </row>
    <row r="58" spans="3:42" ht="13.5" customHeight="1">
      <c r="C58" s="374"/>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6"/>
    </row>
    <row r="59" spans="3:42" ht="13.5" customHeight="1">
      <c r="C59" s="32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26"/>
    </row>
    <row r="60" spans="3:42" ht="13.5" customHeight="1">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3:42" ht="13.5" customHeight="1">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4" ht="13.5"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row>
    <row r="63" ht="15" customHeight="1">
      <c r="C63" s="92" t="s">
        <v>282</v>
      </c>
    </row>
    <row r="64" spans="1:44" ht="13.5" customHeight="1">
      <c r="A64" s="139"/>
      <c r="B64" s="139"/>
      <c r="C64" s="377"/>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9"/>
      <c r="AQ64" s="139"/>
      <c r="AR64" s="139"/>
    </row>
    <row r="65" spans="1:44" ht="13.5" customHeight="1">
      <c r="A65" s="139"/>
      <c r="B65" s="139"/>
      <c r="C65" s="380"/>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2"/>
      <c r="AQ65" s="139"/>
      <c r="AR65" s="139"/>
    </row>
    <row r="66" spans="1:44" ht="13.5" customHeight="1">
      <c r="A66" s="139"/>
      <c r="B66" s="139"/>
      <c r="C66" s="380"/>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2"/>
      <c r="AQ66" s="139"/>
      <c r="AR66" s="139"/>
    </row>
    <row r="67" spans="1:44" ht="13.5" customHeight="1">
      <c r="A67" s="139"/>
      <c r="B67" s="139"/>
      <c r="C67" s="380"/>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2"/>
      <c r="AQ67" s="139"/>
      <c r="AR67" s="139"/>
    </row>
    <row r="68" spans="1:44" ht="13.5" customHeight="1">
      <c r="A68" s="139"/>
      <c r="B68" s="139"/>
      <c r="C68" s="380"/>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2"/>
      <c r="AQ68" s="139"/>
      <c r="AR68" s="139"/>
    </row>
    <row r="69" spans="1:44" ht="13.5" customHeight="1">
      <c r="A69" s="139"/>
      <c r="B69" s="139"/>
      <c r="C69" s="380"/>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2"/>
      <c r="AQ69" s="139"/>
      <c r="AR69" s="139"/>
    </row>
    <row r="70" spans="1:44" ht="13.5" customHeight="1">
      <c r="A70" s="139"/>
      <c r="B70" s="139"/>
      <c r="C70" s="380"/>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2"/>
      <c r="AQ70" s="139"/>
      <c r="AR70" s="139"/>
    </row>
    <row r="71" spans="1:44" ht="13.5" customHeight="1">
      <c r="A71" s="139"/>
      <c r="B71" s="139"/>
      <c r="C71" s="380"/>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2"/>
      <c r="AQ71" s="139"/>
      <c r="AR71" s="139"/>
    </row>
    <row r="72" spans="1:44" ht="13.5" customHeight="1">
      <c r="A72" s="139"/>
      <c r="B72" s="139"/>
      <c r="C72" s="380"/>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2"/>
      <c r="AQ72" s="139"/>
      <c r="AR72" s="139"/>
    </row>
    <row r="73" spans="1:44" ht="13.5" customHeight="1">
      <c r="A73" s="139"/>
      <c r="B73" s="139"/>
      <c r="C73" s="380"/>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2"/>
      <c r="AQ73" s="139"/>
      <c r="AR73" s="139"/>
    </row>
    <row r="74" spans="1:44" ht="13.5" customHeight="1">
      <c r="A74" s="139"/>
      <c r="B74" s="139"/>
      <c r="C74" s="380"/>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2"/>
      <c r="AQ74" s="139"/>
      <c r="AR74" s="139"/>
    </row>
    <row r="75" spans="1:44" ht="13.5" customHeight="1">
      <c r="A75" s="139"/>
      <c r="B75" s="139"/>
      <c r="C75" s="380"/>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2"/>
      <c r="AQ75" s="139"/>
      <c r="AR75" s="139"/>
    </row>
    <row r="76" spans="1:44" ht="13.5" customHeight="1">
      <c r="A76" s="139"/>
      <c r="B76" s="139"/>
      <c r="C76" s="380"/>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2"/>
      <c r="AQ76" s="139"/>
      <c r="AR76" s="139"/>
    </row>
    <row r="77" spans="1:44" ht="13.5" customHeight="1">
      <c r="A77" s="139"/>
      <c r="B77" s="139"/>
      <c r="C77" s="380"/>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2"/>
      <c r="AQ77" s="139"/>
      <c r="AR77" s="139"/>
    </row>
    <row r="78" spans="1:44" ht="13.5" customHeight="1">
      <c r="A78" s="139"/>
      <c r="B78" s="139"/>
      <c r="C78" s="380"/>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1"/>
      <c r="AP78" s="382"/>
      <c r="AQ78" s="139"/>
      <c r="AR78" s="139"/>
    </row>
    <row r="79" spans="1:44" ht="13.5" customHeight="1">
      <c r="A79" s="139"/>
      <c r="B79" s="139"/>
      <c r="C79" s="380"/>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381"/>
      <c r="AL79" s="381"/>
      <c r="AM79" s="381"/>
      <c r="AN79" s="381"/>
      <c r="AO79" s="381"/>
      <c r="AP79" s="382"/>
      <c r="AQ79" s="139"/>
      <c r="AR79" s="139"/>
    </row>
    <row r="80" spans="1:44" ht="13.5" customHeight="1">
      <c r="A80" s="139"/>
      <c r="B80" s="139"/>
      <c r="C80" s="380"/>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2"/>
      <c r="AQ80" s="139"/>
      <c r="AR80" s="139"/>
    </row>
    <row r="81" spans="1:44" ht="13.5" customHeight="1">
      <c r="A81" s="139"/>
      <c r="B81" s="139"/>
      <c r="C81" s="380"/>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2"/>
      <c r="AQ81" s="139"/>
      <c r="AR81" s="139"/>
    </row>
    <row r="82" spans="1:44" ht="13.5" customHeight="1">
      <c r="A82" s="139"/>
      <c r="B82" s="139"/>
      <c r="C82" s="380"/>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2"/>
      <c r="AQ82" s="139"/>
      <c r="AR82" s="139"/>
    </row>
    <row r="83" spans="1:44" ht="13.5" customHeight="1">
      <c r="A83" s="139"/>
      <c r="B83" s="139"/>
      <c r="C83" s="380"/>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2"/>
      <c r="AQ83" s="139"/>
      <c r="AR83" s="139"/>
    </row>
    <row r="84" spans="1:44" ht="13.5" customHeight="1">
      <c r="A84" s="139"/>
      <c r="B84" s="139"/>
      <c r="C84" s="380"/>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2"/>
      <c r="AQ84" s="139"/>
      <c r="AR84" s="139"/>
    </row>
    <row r="85" spans="1:44" ht="13.5" customHeight="1">
      <c r="A85" s="139"/>
      <c r="B85" s="139"/>
      <c r="C85" s="383"/>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84"/>
      <c r="AP85" s="385"/>
      <c r="AQ85" s="139"/>
      <c r="AR85" s="139"/>
    </row>
    <row r="86" spans="1:44" ht="13.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row>
    <row r="87" ht="15" customHeight="1">
      <c r="C87" s="92" t="s">
        <v>283</v>
      </c>
    </row>
    <row r="88" spans="1:44" ht="12.75" customHeight="1">
      <c r="A88" s="139"/>
      <c r="B88" s="139"/>
      <c r="C88" s="92" t="s">
        <v>289</v>
      </c>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row>
    <row r="89" spans="2:44" ht="13.5" customHeight="1">
      <c r="B89" s="145"/>
      <c r="C89" s="386"/>
      <c r="D89" s="387"/>
      <c r="E89" s="387"/>
      <c r="F89" s="387"/>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8"/>
      <c r="AQ89" s="145"/>
      <c r="AR89" s="145"/>
    </row>
    <row r="90" spans="3:42" ht="13.5" customHeight="1">
      <c r="C90" s="389"/>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390"/>
      <c r="AN90" s="390"/>
      <c r="AO90" s="390"/>
      <c r="AP90" s="391"/>
    </row>
    <row r="91" spans="3:42" ht="13.5" customHeight="1">
      <c r="C91" s="389"/>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390"/>
      <c r="AO91" s="390"/>
      <c r="AP91" s="391"/>
    </row>
    <row r="92" spans="3:42" ht="13.5" customHeight="1">
      <c r="C92" s="389"/>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1"/>
    </row>
    <row r="93" spans="3:42" ht="13.5" customHeight="1">
      <c r="C93" s="389"/>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1"/>
    </row>
    <row r="94" spans="3:42" ht="13.5" customHeight="1">
      <c r="C94" s="389"/>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1"/>
    </row>
    <row r="95" spans="3:42" ht="13.5" customHeight="1">
      <c r="C95" s="389"/>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1"/>
    </row>
    <row r="96" spans="3:42" ht="13.5" customHeight="1">
      <c r="C96" s="389"/>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1"/>
    </row>
    <row r="97" spans="3:42" ht="13.5" customHeight="1">
      <c r="C97" s="389"/>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1"/>
    </row>
    <row r="98" spans="3:42" ht="13.5" customHeight="1">
      <c r="C98" s="389"/>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1"/>
    </row>
    <row r="99" spans="3:42" ht="13.5" customHeight="1">
      <c r="C99" s="389"/>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1"/>
    </row>
    <row r="100" spans="3:42" ht="13.5" customHeight="1">
      <c r="C100" s="389"/>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1"/>
    </row>
    <row r="101" spans="3:42" ht="13.5" customHeight="1">
      <c r="C101" s="389"/>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1"/>
    </row>
    <row r="102" spans="3:42" ht="13.5" customHeight="1">
      <c r="C102" s="389"/>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390"/>
      <c r="AP102" s="391"/>
    </row>
    <row r="103" spans="3:42" ht="13.5" customHeight="1">
      <c r="C103" s="389"/>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1"/>
    </row>
    <row r="104" spans="3:42" ht="13.5" customHeight="1">
      <c r="C104" s="389"/>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c r="AO104" s="390"/>
      <c r="AP104" s="391"/>
    </row>
    <row r="105" spans="3:42" ht="13.5" customHeight="1">
      <c r="C105" s="389"/>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c r="AM105" s="390"/>
      <c r="AN105" s="390"/>
      <c r="AO105" s="390"/>
      <c r="AP105" s="391"/>
    </row>
    <row r="106" spans="3:42" ht="13.5" customHeight="1">
      <c r="C106" s="389"/>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1"/>
    </row>
    <row r="107" spans="3:42" ht="13.5" customHeight="1">
      <c r="C107" s="389"/>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0"/>
      <c r="AP107" s="391"/>
    </row>
    <row r="108" spans="3:42" ht="13.5" customHeight="1">
      <c r="C108" s="389"/>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c r="AJ108" s="390"/>
      <c r="AK108" s="390"/>
      <c r="AL108" s="390"/>
      <c r="AM108" s="390"/>
      <c r="AN108" s="390"/>
      <c r="AO108" s="390"/>
      <c r="AP108" s="391"/>
    </row>
    <row r="109" spans="3:42" ht="13.5" customHeight="1">
      <c r="C109" s="389"/>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1"/>
    </row>
    <row r="110" spans="3:42" ht="13.5" customHeight="1">
      <c r="C110" s="392"/>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4"/>
    </row>
    <row r="111" ht="13.5" customHeight="1"/>
    <row r="112" ht="15" customHeight="1">
      <c r="C112" s="92" t="s">
        <v>284</v>
      </c>
    </row>
    <row r="113" spans="3:42" ht="13.5" customHeight="1">
      <c r="C113" s="395"/>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c r="AG113" s="396"/>
      <c r="AH113" s="396"/>
      <c r="AI113" s="396"/>
      <c r="AJ113" s="396"/>
      <c r="AK113" s="396"/>
      <c r="AL113" s="396"/>
      <c r="AM113" s="396"/>
      <c r="AN113" s="396"/>
      <c r="AO113" s="396"/>
      <c r="AP113" s="397"/>
    </row>
    <row r="114" spans="3:42" ht="13.5" customHeight="1">
      <c r="C114" s="398"/>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400"/>
    </row>
    <row r="115" spans="3:42" ht="13.5" customHeight="1">
      <c r="C115" s="398"/>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399"/>
      <c r="AH115" s="399"/>
      <c r="AI115" s="399"/>
      <c r="AJ115" s="399"/>
      <c r="AK115" s="399"/>
      <c r="AL115" s="399"/>
      <c r="AM115" s="399"/>
      <c r="AN115" s="399"/>
      <c r="AO115" s="399"/>
      <c r="AP115" s="400"/>
    </row>
    <row r="116" spans="3:42" ht="13.5" customHeight="1">
      <c r="C116" s="398"/>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c r="AG116" s="399"/>
      <c r="AH116" s="399"/>
      <c r="AI116" s="399"/>
      <c r="AJ116" s="399"/>
      <c r="AK116" s="399"/>
      <c r="AL116" s="399"/>
      <c r="AM116" s="399"/>
      <c r="AN116" s="399"/>
      <c r="AO116" s="399"/>
      <c r="AP116" s="400"/>
    </row>
    <row r="117" spans="3:42" ht="13.5" customHeight="1">
      <c r="C117" s="398"/>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400"/>
    </row>
    <row r="118" spans="3:42" ht="13.5" customHeight="1">
      <c r="C118" s="398"/>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400"/>
    </row>
    <row r="119" spans="3:42" ht="13.5" customHeight="1">
      <c r="C119" s="398"/>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c r="AG119" s="399"/>
      <c r="AH119" s="399"/>
      <c r="AI119" s="399"/>
      <c r="AJ119" s="399"/>
      <c r="AK119" s="399"/>
      <c r="AL119" s="399"/>
      <c r="AM119" s="399"/>
      <c r="AN119" s="399"/>
      <c r="AO119" s="399"/>
      <c r="AP119" s="400"/>
    </row>
    <row r="120" spans="3:42" ht="13.5" customHeight="1">
      <c r="C120" s="401"/>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2"/>
      <c r="AN120" s="402"/>
      <c r="AO120" s="402"/>
      <c r="AP120" s="403"/>
    </row>
    <row r="121" ht="13.5" customHeight="1"/>
  </sheetData>
  <sheetProtection/>
  <mergeCells count="43">
    <mergeCell ref="C30:AP59"/>
    <mergeCell ref="C64:AP85"/>
    <mergeCell ref="C89:AP110"/>
    <mergeCell ref="C113:AP120"/>
    <mergeCell ref="C26:K27"/>
    <mergeCell ref="L26:O27"/>
    <mergeCell ref="P26:V27"/>
    <mergeCell ref="W26:AF26"/>
    <mergeCell ref="Y27:AD27"/>
    <mergeCell ref="AI27:AN27"/>
    <mergeCell ref="C24:K25"/>
    <mergeCell ref="L24:O25"/>
    <mergeCell ref="P24:V25"/>
    <mergeCell ref="W24:AF24"/>
    <mergeCell ref="AG24:AP24"/>
    <mergeCell ref="Y25:AD25"/>
    <mergeCell ref="AI25:AN25"/>
    <mergeCell ref="A17:AR17"/>
    <mergeCell ref="A18:AR18"/>
    <mergeCell ref="C22:K23"/>
    <mergeCell ref="L22:O23"/>
    <mergeCell ref="P22:V23"/>
    <mergeCell ref="W22:AF22"/>
    <mergeCell ref="AG22:AP22"/>
    <mergeCell ref="W23:AF23"/>
    <mergeCell ref="AG23:AP23"/>
    <mergeCell ref="S3:T4"/>
    <mergeCell ref="AI6:AP6"/>
    <mergeCell ref="O11:T11"/>
    <mergeCell ref="U11:AM12"/>
    <mergeCell ref="AN11:AP14"/>
    <mergeCell ref="U13:AM13"/>
    <mergeCell ref="U14:AM14"/>
    <mergeCell ref="AG26:AP26"/>
    <mergeCell ref="C2:T2"/>
    <mergeCell ref="C3:D4"/>
    <mergeCell ref="E3:F4"/>
    <mergeCell ref="G3:H4"/>
    <mergeCell ref="I3:J4"/>
    <mergeCell ref="K3:L4"/>
    <mergeCell ref="M3:N4"/>
    <mergeCell ref="O3:P4"/>
    <mergeCell ref="Q3:R4"/>
  </mergeCells>
  <dataValidations count="1">
    <dataValidation allowBlank="1" showInputMessage="1" showErrorMessage="1" imeMode="halfAlpha" sqref="AI5:AP7 AK8:AR10"/>
  </dataValidations>
  <printOptions/>
  <pageMargins left="0.7086614173228347" right="0.11811023622047245" top="0.7480314960629921" bottom="0.1574803149606299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AB24"/>
  <sheetViews>
    <sheetView zoomScale="70" zoomScaleNormal="70" zoomScalePageLayoutView="0" workbookViewId="0" topLeftCell="A1">
      <selection activeCell="K8" sqref="K8"/>
    </sheetView>
  </sheetViews>
  <sheetFormatPr defaultColWidth="10.625" defaultRowHeight="24.75" customHeight="1"/>
  <cols>
    <col min="1" max="5" width="10.625" style="46" customWidth="1"/>
    <col min="6" max="18" width="10.625" style="51" customWidth="1"/>
    <col min="19" max="22" width="10.625" style="46" customWidth="1"/>
    <col min="23" max="23" width="10.625" style="46" hidden="1" customWidth="1"/>
    <col min="24" max="24" width="12.375" style="46" hidden="1" customWidth="1"/>
    <col min="25" max="28" width="10.625" style="46" hidden="1" customWidth="1"/>
    <col min="29" max="16384" width="10.625" style="46" customWidth="1"/>
  </cols>
  <sheetData>
    <row r="1" spans="1:21" ht="24.75" customHeight="1">
      <c r="A1" s="54" t="s">
        <v>314</v>
      </c>
      <c r="D1" s="93"/>
      <c r="E1" s="212" t="s">
        <v>148</v>
      </c>
      <c r="G1" s="76" t="s">
        <v>145</v>
      </c>
      <c r="H1" s="76"/>
      <c r="I1" s="76" t="s">
        <v>146</v>
      </c>
      <c r="J1" s="77"/>
      <c r="K1" s="78"/>
      <c r="L1" s="78"/>
      <c r="M1" s="79"/>
      <c r="R1" s="46"/>
      <c r="S1" s="51"/>
      <c r="T1" s="47" t="s">
        <v>150</v>
      </c>
      <c r="U1" s="84"/>
    </row>
    <row r="2" spans="3:19" ht="24.75" customHeight="1">
      <c r="C2" s="46" t="s">
        <v>47</v>
      </c>
      <c r="G2" s="66" t="s">
        <v>124</v>
      </c>
      <c r="J2" s="68" t="s">
        <v>132</v>
      </c>
      <c r="K2" s="68"/>
      <c r="L2" s="68"/>
      <c r="N2" s="51" t="s">
        <v>151</v>
      </c>
      <c r="R2" s="46"/>
      <c r="S2" s="51"/>
    </row>
    <row r="3" spans="1:19" ht="24.75" customHeight="1">
      <c r="A3" s="64"/>
      <c r="B3" s="65" t="s">
        <v>127</v>
      </c>
      <c r="D3" s="47" t="s">
        <v>107</v>
      </c>
      <c r="G3" s="49">
        <f>+'【入力ｼｰﾄ②】ｺｰｼﾞｪﾈ方式(導入前)'!B4*'【入力ｼｰﾄ②】ｺｰｼﾞｪﾈ方式(導入前)'!B16</f>
        <v>1000</v>
      </c>
      <c r="H3" s="49" t="s">
        <v>98</v>
      </c>
      <c r="J3" s="69" t="s">
        <v>133</v>
      </c>
      <c r="K3" s="69">
        <v>0.0258</v>
      </c>
      <c r="L3" s="69" t="s">
        <v>134</v>
      </c>
      <c r="N3" s="80" t="s">
        <v>152</v>
      </c>
      <c r="O3" s="81"/>
      <c r="P3" s="81"/>
      <c r="Q3" s="82"/>
      <c r="R3" s="85"/>
      <c r="S3" s="83" t="s">
        <v>153</v>
      </c>
    </row>
    <row r="4" spans="1:19" ht="24.75" customHeight="1">
      <c r="A4" s="56"/>
      <c r="B4" s="65" t="s">
        <v>128</v>
      </c>
      <c r="C4" s="47" t="s">
        <v>8</v>
      </c>
      <c r="D4" s="50">
        <f>+'【入力ｼｰﾄ①】従来方式(導入前)'!B11</f>
        <v>1.2222222222222223</v>
      </c>
      <c r="E4" s="47" t="s">
        <v>48</v>
      </c>
      <c r="J4" s="69" t="s">
        <v>135</v>
      </c>
      <c r="K4" s="69">
        <v>0.252</v>
      </c>
      <c r="L4" s="70" t="s">
        <v>136</v>
      </c>
      <c r="N4" s="80" t="s">
        <v>154</v>
      </c>
      <c r="O4" s="81"/>
      <c r="P4" s="81"/>
      <c r="Q4" s="82"/>
      <c r="R4" s="85"/>
      <c r="S4" s="83" t="s">
        <v>155</v>
      </c>
    </row>
    <row r="5" spans="3:19" ht="24.75" customHeight="1">
      <c r="C5" s="47" t="s">
        <v>49</v>
      </c>
      <c r="D5" s="50">
        <f>+'【入力ｼｰﾄ①】従来方式(導入前)'!B22</f>
        <v>1.2941176470588236</v>
      </c>
      <c r="E5" s="47" t="s">
        <v>48</v>
      </c>
      <c r="R5" s="46"/>
      <c r="S5" s="51"/>
    </row>
    <row r="6" spans="3:19" ht="24.75" customHeight="1">
      <c r="C6" s="47" t="s">
        <v>50</v>
      </c>
      <c r="D6" s="50">
        <f>+'【入力ｼｰﾄ①】従来方式(導入前)'!B28</f>
        <v>0.8148148148148149</v>
      </c>
      <c r="E6" s="47" t="s">
        <v>48</v>
      </c>
      <c r="R6" s="46"/>
      <c r="S6" s="51"/>
    </row>
    <row r="7" spans="3:19" ht="24.75" customHeight="1">
      <c r="C7" s="47" t="s">
        <v>120</v>
      </c>
      <c r="D7" s="50">
        <f>+'【入力ｼｰﾄ①】従来方式(導入前)'!B31</f>
        <v>1.2222222222222223</v>
      </c>
      <c r="E7" s="47" t="s">
        <v>48</v>
      </c>
      <c r="R7" s="46"/>
      <c r="S7" s="51"/>
    </row>
    <row r="8" spans="3:19" ht="24.75" customHeight="1">
      <c r="C8" s="48"/>
      <c r="D8" s="67"/>
      <c r="E8" s="48"/>
      <c r="R8" s="46"/>
      <c r="S8" s="51"/>
    </row>
    <row r="9" spans="1:28" ht="24.75" customHeight="1">
      <c r="A9" s="86" t="s">
        <v>311</v>
      </c>
      <c r="B9" s="87"/>
      <c r="C9" s="88"/>
      <c r="D9" s="88"/>
      <c r="E9" s="88"/>
      <c r="F9" s="87"/>
      <c r="G9" s="87"/>
      <c r="H9" s="87"/>
      <c r="I9" s="89"/>
      <c r="J9" s="89"/>
      <c r="K9" s="83"/>
      <c r="L9" s="311" t="s">
        <v>114</v>
      </c>
      <c r="M9" s="311"/>
      <c r="N9" s="311"/>
      <c r="O9" s="311"/>
      <c r="P9" s="311" t="s">
        <v>115</v>
      </c>
      <c r="Q9" s="311"/>
      <c r="R9" s="311"/>
      <c r="S9" s="311"/>
      <c r="T9" s="311" t="s">
        <v>119</v>
      </c>
      <c r="U9" s="311" t="s">
        <v>143</v>
      </c>
      <c r="V9" s="309" t="s">
        <v>12</v>
      </c>
      <c r="W9" s="90" t="s">
        <v>139</v>
      </c>
      <c r="X9" s="72"/>
      <c r="Y9" s="72"/>
      <c r="Z9" s="73"/>
      <c r="AA9" s="73"/>
      <c r="AB9" s="74"/>
    </row>
    <row r="10" spans="1:28" ht="24.75" customHeight="1">
      <c r="A10" s="310"/>
      <c r="B10" s="47" t="s">
        <v>7</v>
      </c>
      <c r="C10" s="47" t="s">
        <v>10</v>
      </c>
      <c r="D10" s="47" t="s">
        <v>129</v>
      </c>
      <c r="E10" s="47" t="s">
        <v>201</v>
      </c>
      <c r="F10" s="58" t="s">
        <v>11</v>
      </c>
      <c r="G10" s="58" t="s">
        <v>200</v>
      </c>
      <c r="H10" s="58" t="s">
        <v>42</v>
      </c>
      <c r="I10" s="49" t="s">
        <v>9</v>
      </c>
      <c r="J10" s="49" t="s">
        <v>105</v>
      </c>
      <c r="K10" s="52" t="s">
        <v>112</v>
      </c>
      <c r="L10" s="60" t="s">
        <v>108</v>
      </c>
      <c r="M10" s="60" t="s">
        <v>109</v>
      </c>
      <c r="N10" s="60" t="s">
        <v>110</v>
      </c>
      <c r="O10" s="60" t="s">
        <v>113</v>
      </c>
      <c r="P10" s="60" t="s">
        <v>13</v>
      </c>
      <c r="Q10" s="60" t="s">
        <v>116</v>
      </c>
      <c r="R10" s="60" t="s">
        <v>117</v>
      </c>
      <c r="S10" s="60" t="s">
        <v>118</v>
      </c>
      <c r="T10" s="311"/>
      <c r="U10" s="311"/>
      <c r="V10" s="309"/>
      <c r="W10" s="47" t="s">
        <v>7</v>
      </c>
      <c r="X10" s="47" t="s">
        <v>10</v>
      </c>
      <c r="Y10" s="60" t="s">
        <v>108</v>
      </c>
      <c r="Z10" s="60" t="s">
        <v>109</v>
      </c>
      <c r="AA10" s="60" t="s">
        <v>110</v>
      </c>
      <c r="AB10" s="60" t="s">
        <v>113</v>
      </c>
    </row>
    <row r="11" spans="1:28" ht="24.75" customHeight="1">
      <c r="A11" s="310"/>
      <c r="B11" s="47" t="s">
        <v>122</v>
      </c>
      <c r="C11" s="47" t="s">
        <v>15</v>
      </c>
      <c r="D11" s="47" t="s">
        <v>15</v>
      </c>
      <c r="E11" s="47" t="s">
        <v>156</v>
      </c>
      <c r="F11" s="58"/>
      <c r="G11" s="58"/>
      <c r="H11" s="58" t="s">
        <v>126</v>
      </c>
      <c r="I11" s="49" t="s">
        <v>106</v>
      </c>
      <c r="J11" s="49" t="s">
        <v>106</v>
      </c>
      <c r="K11" s="49" t="s">
        <v>138</v>
      </c>
      <c r="L11" s="53" t="s">
        <v>106</v>
      </c>
      <c r="M11" s="53" t="s">
        <v>106</v>
      </c>
      <c r="N11" s="53" t="s">
        <v>106</v>
      </c>
      <c r="O11" s="53" t="s">
        <v>106</v>
      </c>
      <c r="P11" s="61" t="s">
        <v>106</v>
      </c>
      <c r="Q11" s="61" t="s">
        <v>106</v>
      </c>
      <c r="R11" s="61" t="s">
        <v>106</v>
      </c>
      <c r="S11" s="61" t="s">
        <v>138</v>
      </c>
      <c r="T11" s="61" t="s">
        <v>123</v>
      </c>
      <c r="U11" s="61" t="s">
        <v>144</v>
      </c>
      <c r="V11" s="62"/>
      <c r="W11" s="47" t="s">
        <v>130</v>
      </c>
      <c r="X11" s="47" t="s">
        <v>157</v>
      </c>
      <c r="Y11" s="53" t="s">
        <v>131</v>
      </c>
      <c r="Z11" s="53" t="s">
        <v>131</v>
      </c>
      <c r="AA11" s="53" t="s">
        <v>131</v>
      </c>
      <c r="AB11" s="53" t="s">
        <v>131</v>
      </c>
    </row>
    <row r="12" spans="1:28"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13.04629411764705</v>
      </c>
      <c r="U12" s="75">
        <f>+T12/$G$3</f>
        <v>0.01304629411764705</v>
      </c>
      <c r="V12" s="57">
        <f>+T12/((P12+Q12+R12+S12)*$K$3+$E12*$K$4)</f>
        <v>0.13030488901109352</v>
      </c>
      <c r="W12" s="91">
        <f>B12/$H12</f>
        <v>250</v>
      </c>
      <c r="X12" s="47">
        <f>C12/$H12*1000</f>
        <v>1000</v>
      </c>
      <c r="Y12" s="91">
        <f>L12*1000/$H12</f>
        <v>1500</v>
      </c>
      <c r="Z12" s="91">
        <f>M12*1000/$H12</f>
        <v>1333.3333333333333</v>
      </c>
      <c r="AA12" s="91">
        <f>N12*1000/$H12</f>
        <v>0</v>
      </c>
      <c r="AB12" s="91">
        <f>O12*1000/$H12</f>
        <v>0</v>
      </c>
    </row>
    <row r="13" spans="1:28" ht="24.75" customHeight="1">
      <c r="A13" s="47" t="s">
        <v>17</v>
      </c>
      <c r="B13" s="63"/>
      <c r="C13" s="63"/>
      <c r="D13" s="63"/>
      <c r="E13" s="55">
        <f aca="true" t="shared" si="3" ref="E13:E23">C13-D13</f>
        <v>0</v>
      </c>
      <c r="F13" s="57" t="e">
        <f>+$C13*3600/$B13/'【入力ｼｰﾄ②】ｺｰｼﾞｪﾈ方式(導入前)'!$F$6</f>
        <v>#DIV/0!</v>
      </c>
      <c r="G13" s="57" t="e">
        <f>+$E13*3600/$B13/'【入力ｼｰﾄ②】ｺｰｼﾞｪﾈ方式(導入前)'!$F$6</f>
        <v>#DIV/0!</v>
      </c>
      <c r="H13" s="63"/>
      <c r="I13" s="63"/>
      <c r="J13" s="63"/>
      <c r="K13" s="63"/>
      <c r="L13" s="63"/>
      <c r="M13" s="63"/>
      <c r="N13" s="63"/>
      <c r="O13" s="63"/>
      <c r="P13" s="55">
        <f aca="true" t="shared" si="4" ref="P13:P23">+L13*$D$4</f>
        <v>0</v>
      </c>
      <c r="Q13" s="55">
        <f t="shared" si="0"/>
        <v>0</v>
      </c>
      <c r="R13" s="55">
        <f t="shared" si="1"/>
        <v>0</v>
      </c>
      <c r="S13" s="55">
        <f t="shared" si="2"/>
        <v>0</v>
      </c>
      <c r="T13" s="55">
        <f>+E13*$K$4+(P13+Q13+R13+S13)*$K$3-B13/1000*'【入力ｼｰﾄ②】ｺｰｼﾞｪﾈ方式(導入前)'!$F$7*$K$3</f>
        <v>0</v>
      </c>
      <c r="U13" s="75">
        <f aca="true" t="shared" si="5" ref="U13:U23">+T13/$G$3</f>
        <v>0</v>
      </c>
      <c r="V13" s="57" t="e">
        <f aca="true" t="shared" si="6" ref="V13:V23">+T13/((P13+Q13+R13+S13)*$K$3+$E13*$K$4)</f>
        <v>#DIV/0!</v>
      </c>
      <c r="W13" s="91" t="e">
        <f aca="true" t="shared" si="7" ref="W13:W24">B13/$H13</f>
        <v>#DIV/0!</v>
      </c>
      <c r="X13" s="47" t="e">
        <f aca="true" t="shared" si="8" ref="X13:X24">C13/$H13*1000</f>
        <v>#DIV/0!</v>
      </c>
      <c r="Y13" s="91" t="e">
        <f aca="true" t="shared" si="9" ref="Y13:AB24">L13*1000/$H13</f>
        <v>#DIV/0!</v>
      </c>
      <c r="Z13" s="91" t="e">
        <f t="shared" si="9"/>
        <v>#DIV/0!</v>
      </c>
      <c r="AA13" s="91" t="e">
        <f t="shared" si="9"/>
        <v>#DIV/0!</v>
      </c>
      <c r="AB13" s="91" t="e">
        <f t="shared" si="9"/>
        <v>#DIV/0!</v>
      </c>
    </row>
    <row r="14" spans="1:28" ht="24.75" customHeight="1">
      <c r="A14" s="47" t="s">
        <v>18</v>
      </c>
      <c r="B14" s="63"/>
      <c r="C14" s="63"/>
      <c r="D14" s="63"/>
      <c r="E14" s="55">
        <f t="shared" si="3"/>
        <v>0</v>
      </c>
      <c r="F14" s="57" t="e">
        <f>+$C14*3600/$B14/'【入力ｼｰﾄ②】ｺｰｼﾞｪﾈ方式(導入前)'!$F$6</f>
        <v>#DIV/0!</v>
      </c>
      <c r="G14" s="57" t="e">
        <f>+$E14*3600/$B14/'【入力ｼｰﾄ②】ｺｰｼﾞｪﾈ方式(導入前)'!$F$6</f>
        <v>#DIV/0!</v>
      </c>
      <c r="H14" s="63"/>
      <c r="I14" s="63"/>
      <c r="J14" s="63"/>
      <c r="K14" s="63"/>
      <c r="L14" s="63"/>
      <c r="M14" s="63"/>
      <c r="N14" s="63"/>
      <c r="O14" s="63"/>
      <c r="P14" s="55">
        <f t="shared" si="4"/>
        <v>0</v>
      </c>
      <c r="Q14" s="55">
        <f t="shared" si="0"/>
        <v>0</v>
      </c>
      <c r="R14" s="55">
        <f t="shared" si="1"/>
        <v>0</v>
      </c>
      <c r="S14" s="55">
        <f t="shared" si="2"/>
        <v>0</v>
      </c>
      <c r="T14" s="55">
        <f>+E14*$K$4+(P14+Q14+R14+S14)*$K$3-B14/1000*'【入力ｼｰﾄ②】ｺｰｼﾞｪﾈ方式(導入前)'!$F$7*$K$3</f>
        <v>0</v>
      </c>
      <c r="U14" s="75">
        <f t="shared" si="5"/>
        <v>0</v>
      </c>
      <c r="V14" s="57" t="e">
        <f t="shared" si="6"/>
        <v>#DIV/0!</v>
      </c>
      <c r="W14" s="91" t="e">
        <f t="shared" si="7"/>
        <v>#DIV/0!</v>
      </c>
      <c r="X14" s="47" t="e">
        <f t="shared" si="8"/>
        <v>#DIV/0!</v>
      </c>
      <c r="Y14" s="91" t="e">
        <f t="shared" si="9"/>
        <v>#DIV/0!</v>
      </c>
      <c r="Z14" s="91" t="e">
        <f t="shared" si="9"/>
        <v>#DIV/0!</v>
      </c>
      <c r="AA14" s="91" t="e">
        <f t="shared" si="9"/>
        <v>#DIV/0!</v>
      </c>
      <c r="AB14" s="91" t="e">
        <f t="shared" si="9"/>
        <v>#DIV/0!</v>
      </c>
    </row>
    <row r="15" spans="1:28" ht="24.75" customHeight="1">
      <c r="A15" s="47" t="s">
        <v>19</v>
      </c>
      <c r="B15" s="63"/>
      <c r="C15" s="63"/>
      <c r="D15" s="63"/>
      <c r="E15" s="55">
        <f t="shared" si="3"/>
        <v>0</v>
      </c>
      <c r="F15" s="57" t="e">
        <f>+$C15*3600/$B15/'【入力ｼｰﾄ②】ｺｰｼﾞｪﾈ方式(導入前)'!$F$6</f>
        <v>#DIV/0!</v>
      </c>
      <c r="G15" s="57" t="e">
        <f>+$E15*3600/$B15/'【入力ｼｰﾄ②】ｺｰｼﾞｪﾈ方式(導入前)'!$F$6</f>
        <v>#DIV/0!</v>
      </c>
      <c r="H15" s="63"/>
      <c r="I15" s="63"/>
      <c r="J15" s="63"/>
      <c r="K15" s="63"/>
      <c r="L15" s="63"/>
      <c r="M15" s="63"/>
      <c r="N15" s="63"/>
      <c r="O15" s="63"/>
      <c r="P15" s="55">
        <f t="shared" si="4"/>
        <v>0</v>
      </c>
      <c r="Q15" s="55">
        <f t="shared" si="0"/>
        <v>0</v>
      </c>
      <c r="R15" s="55">
        <f t="shared" si="1"/>
        <v>0</v>
      </c>
      <c r="S15" s="55">
        <f t="shared" si="2"/>
        <v>0</v>
      </c>
      <c r="T15" s="55">
        <f>+E15*$K$4+(P15+Q15+R15+S15)*$K$3-B15/1000*'【入力ｼｰﾄ②】ｺｰｼﾞｪﾈ方式(導入前)'!$F$7*$K$3</f>
        <v>0</v>
      </c>
      <c r="U15" s="75">
        <f t="shared" si="5"/>
        <v>0</v>
      </c>
      <c r="V15" s="57" t="e">
        <f t="shared" si="6"/>
        <v>#DIV/0!</v>
      </c>
      <c r="W15" s="91" t="e">
        <f t="shared" si="7"/>
        <v>#DIV/0!</v>
      </c>
      <c r="X15" s="47" t="e">
        <f t="shared" si="8"/>
        <v>#DIV/0!</v>
      </c>
      <c r="Y15" s="91" t="e">
        <f t="shared" si="9"/>
        <v>#DIV/0!</v>
      </c>
      <c r="Z15" s="91" t="e">
        <f t="shared" si="9"/>
        <v>#DIV/0!</v>
      </c>
      <c r="AA15" s="91" t="e">
        <f t="shared" si="9"/>
        <v>#DIV/0!</v>
      </c>
      <c r="AB15" s="91" t="e">
        <f t="shared" si="9"/>
        <v>#DIV/0!</v>
      </c>
    </row>
    <row r="16" spans="1:28" ht="24.75" customHeight="1">
      <c r="A16" s="47" t="s">
        <v>20</v>
      </c>
      <c r="B16" s="63"/>
      <c r="C16" s="63"/>
      <c r="D16" s="63"/>
      <c r="E16" s="55">
        <f t="shared" si="3"/>
        <v>0</v>
      </c>
      <c r="F16" s="57" t="e">
        <f>+$C16*3600/$B16/'【入力ｼｰﾄ②】ｺｰｼﾞｪﾈ方式(導入前)'!$F$6</f>
        <v>#DIV/0!</v>
      </c>
      <c r="G16" s="57" t="e">
        <f>+$E16*3600/$B16/'【入力ｼｰﾄ②】ｺｰｼﾞｪﾈ方式(導入前)'!$F$6</f>
        <v>#DIV/0!</v>
      </c>
      <c r="H16" s="63"/>
      <c r="I16" s="63"/>
      <c r="J16" s="63"/>
      <c r="K16" s="63"/>
      <c r="L16" s="63"/>
      <c r="M16" s="63"/>
      <c r="N16" s="63"/>
      <c r="O16" s="63"/>
      <c r="P16" s="55">
        <f t="shared" si="4"/>
        <v>0</v>
      </c>
      <c r="Q16" s="55">
        <f t="shared" si="0"/>
        <v>0</v>
      </c>
      <c r="R16" s="55">
        <f t="shared" si="1"/>
        <v>0</v>
      </c>
      <c r="S16" s="55">
        <f t="shared" si="2"/>
        <v>0</v>
      </c>
      <c r="T16" s="55">
        <f>+E16*$K$4+(P16+Q16+R16+S16)*$K$3-B16/1000*'【入力ｼｰﾄ②】ｺｰｼﾞｪﾈ方式(導入前)'!$F$7*$K$3</f>
        <v>0</v>
      </c>
      <c r="U16" s="75">
        <f t="shared" si="5"/>
        <v>0</v>
      </c>
      <c r="V16" s="57" t="e">
        <f t="shared" si="6"/>
        <v>#DIV/0!</v>
      </c>
      <c r="W16" s="91" t="e">
        <f t="shared" si="7"/>
        <v>#DIV/0!</v>
      </c>
      <c r="X16" s="47" t="e">
        <f t="shared" si="8"/>
        <v>#DIV/0!</v>
      </c>
      <c r="Y16" s="91" t="e">
        <f t="shared" si="9"/>
        <v>#DIV/0!</v>
      </c>
      <c r="Z16" s="91" t="e">
        <f t="shared" si="9"/>
        <v>#DIV/0!</v>
      </c>
      <c r="AA16" s="91" t="e">
        <f t="shared" si="9"/>
        <v>#DIV/0!</v>
      </c>
      <c r="AB16" s="91" t="e">
        <f t="shared" si="9"/>
        <v>#DIV/0!</v>
      </c>
    </row>
    <row r="17" spans="1:28" ht="24.75" customHeight="1">
      <c r="A17" s="47" t="s">
        <v>0</v>
      </c>
      <c r="B17" s="63"/>
      <c r="C17" s="63"/>
      <c r="D17" s="63"/>
      <c r="E17" s="55">
        <f t="shared" si="3"/>
        <v>0</v>
      </c>
      <c r="F17" s="57" t="e">
        <f>+$C17*3600/$B17/'【入力ｼｰﾄ②】ｺｰｼﾞｪﾈ方式(導入前)'!$F$6</f>
        <v>#DIV/0!</v>
      </c>
      <c r="G17" s="57" t="e">
        <f>+$E17*3600/$B17/'【入力ｼｰﾄ②】ｺｰｼﾞｪﾈ方式(導入前)'!$F$6</f>
        <v>#DIV/0!</v>
      </c>
      <c r="H17" s="63"/>
      <c r="I17" s="63"/>
      <c r="J17" s="63"/>
      <c r="K17" s="63"/>
      <c r="L17" s="63"/>
      <c r="M17" s="63"/>
      <c r="N17" s="63"/>
      <c r="O17" s="63"/>
      <c r="P17" s="55">
        <f t="shared" si="4"/>
        <v>0</v>
      </c>
      <c r="Q17" s="55">
        <f t="shared" si="0"/>
        <v>0</v>
      </c>
      <c r="R17" s="55">
        <f t="shared" si="1"/>
        <v>0</v>
      </c>
      <c r="S17" s="55">
        <f t="shared" si="2"/>
        <v>0</v>
      </c>
      <c r="T17" s="55">
        <f>+E17*$K$4+(P17+Q17+R17+S17)*$K$3-B17/1000*'【入力ｼｰﾄ②】ｺｰｼﾞｪﾈ方式(導入前)'!$F$7*$K$3</f>
        <v>0</v>
      </c>
      <c r="U17" s="75">
        <f t="shared" si="5"/>
        <v>0</v>
      </c>
      <c r="V17" s="57" t="e">
        <f t="shared" si="6"/>
        <v>#DIV/0!</v>
      </c>
      <c r="W17" s="91" t="e">
        <f t="shared" si="7"/>
        <v>#DIV/0!</v>
      </c>
      <c r="X17" s="47" t="e">
        <f t="shared" si="8"/>
        <v>#DIV/0!</v>
      </c>
      <c r="Y17" s="91" t="e">
        <f t="shared" si="9"/>
        <v>#DIV/0!</v>
      </c>
      <c r="Z17" s="91" t="e">
        <f t="shared" si="9"/>
        <v>#DIV/0!</v>
      </c>
      <c r="AA17" s="91" t="e">
        <f t="shared" si="9"/>
        <v>#DIV/0!</v>
      </c>
      <c r="AB17" s="91" t="e">
        <f t="shared" si="9"/>
        <v>#DIV/0!</v>
      </c>
    </row>
    <row r="18" spans="1:28"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75">
        <f t="shared" si="5"/>
        <v>0</v>
      </c>
      <c r="V18" s="57" t="e">
        <f t="shared" si="6"/>
        <v>#DIV/0!</v>
      </c>
      <c r="W18" s="91" t="e">
        <f t="shared" si="7"/>
        <v>#DIV/0!</v>
      </c>
      <c r="X18" s="47" t="e">
        <f t="shared" si="8"/>
        <v>#DIV/0!</v>
      </c>
      <c r="Y18" s="91" t="e">
        <f t="shared" si="9"/>
        <v>#DIV/0!</v>
      </c>
      <c r="Z18" s="91" t="e">
        <f t="shared" si="9"/>
        <v>#DIV/0!</v>
      </c>
      <c r="AA18" s="91" t="e">
        <f t="shared" si="9"/>
        <v>#DIV/0!</v>
      </c>
      <c r="AB18" s="91" t="e">
        <f t="shared" si="9"/>
        <v>#DIV/0!</v>
      </c>
    </row>
    <row r="19" spans="1:28"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75">
        <f t="shared" si="5"/>
        <v>0</v>
      </c>
      <c r="V19" s="57" t="e">
        <f t="shared" si="6"/>
        <v>#DIV/0!</v>
      </c>
      <c r="W19" s="91" t="e">
        <f t="shared" si="7"/>
        <v>#DIV/0!</v>
      </c>
      <c r="X19" s="47" t="e">
        <f t="shared" si="8"/>
        <v>#DIV/0!</v>
      </c>
      <c r="Y19" s="91" t="e">
        <f t="shared" si="9"/>
        <v>#DIV/0!</v>
      </c>
      <c r="Z19" s="91" t="e">
        <f t="shared" si="9"/>
        <v>#DIV/0!</v>
      </c>
      <c r="AA19" s="91" t="e">
        <f t="shared" si="9"/>
        <v>#DIV/0!</v>
      </c>
      <c r="AB19" s="91" t="e">
        <f t="shared" si="9"/>
        <v>#DIV/0!</v>
      </c>
    </row>
    <row r="20" spans="1:28"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75">
        <f t="shared" si="5"/>
        <v>0</v>
      </c>
      <c r="V20" s="57" t="e">
        <f t="shared" si="6"/>
        <v>#DIV/0!</v>
      </c>
      <c r="W20" s="91" t="e">
        <f t="shared" si="7"/>
        <v>#DIV/0!</v>
      </c>
      <c r="X20" s="47" t="e">
        <f t="shared" si="8"/>
        <v>#DIV/0!</v>
      </c>
      <c r="Y20" s="91" t="e">
        <f t="shared" si="9"/>
        <v>#DIV/0!</v>
      </c>
      <c r="Z20" s="91" t="e">
        <f t="shared" si="9"/>
        <v>#DIV/0!</v>
      </c>
      <c r="AA20" s="91" t="e">
        <f t="shared" si="9"/>
        <v>#DIV/0!</v>
      </c>
      <c r="AB20" s="91" t="e">
        <f t="shared" si="9"/>
        <v>#DIV/0!</v>
      </c>
    </row>
    <row r="21" spans="1:28"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75">
        <f t="shared" si="5"/>
        <v>0</v>
      </c>
      <c r="V21" s="57" t="e">
        <f t="shared" si="6"/>
        <v>#DIV/0!</v>
      </c>
      <c r="W21" s="91" t="e">
        <f t="shared" si="7"/>
        <v>#DIV/0!</v>
      </c>
      <c r="X21" s="47" t="e">
        <f t="shared" si="8"/>
        <v>#DIV/0!</v>
      </c>
      <c r="Y21" s="91" t="e">
        <f t="shared" si="9"/>
        <v>#DIV/0!</v>
      </c>
      <c r="Z21" s="91" t="e">
        <f t="shared" si="9"/>
        <v>#DIV/0!</v>
      </c>
      <c r="AA21" s="91" t="e">
        <f t="shared" si="9"/>
        <v>#DIV/0!</v>
      </c>
      <c r="AB21" s="91" t="e">
        <f t="shared" si="9"/>
        <v>#DIV/0!</v>
      </c>
    </row>
    <row r="22" spans="1:28"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75">
        <f t="shared" si="5"/>
        <v>0</v>
      </c>
      <c r="V22" s="57" t="e">
        <f t="shared" si="6"/>
        <v>#DIV/0!</v>
      </c>
      <c r="W22" s="91" t="e">
        <f t="shared" si="7"/>
        <v>#DIV/0!</v>
      </c>
      <c r="X22" s="47" t="e">
        <f t="shared" si="8"/>
        <v>#DIV/0!</v>
      </c>
      <c r="Y22" s="91" t="e">
        <f t="shared" si="9"/>
        <v>#DIV/0!</v>
      </c>
      <c r="Z22" s="91" t="e">
        <f t="shared" si="9"/>
        <v>#DIV/0!</v>
      </c>
      <c r="AA22" s="91" t="e">
        <f t="shared" si="9"/>
        <v>#DIV/0!</v>
      </c>
      <c r="AB22" s="91" t="e">
        <f t="shared" si="9"/>
        <v>#DIV/0!</v>
      </c>
    </row>
    <row r="23" spans="1:28"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75">
        <f t="shared" si="5"/>
        <v>0</v>
      </c>
      <c r="V23" s="57" t="e">
        <f t="shared" si="6"/>
        <v>#DIV/0!</v>
      </c>
      <c r="W23" s="91" t="e">
        <f t="shared" si="7"/>
        <v>#DIV/0!</v>
      </c>
      <c r="X23" s="47" t="e">
        <f t="shared" si="8"/>
        <v>#DIV/0!</v>
      </c>
      <c r="Y23" s="91" t="e">
        <f t="shared" si="9"/>
        <v>#DIV/0!</v>
      </c>
      <c r="Z23" s="91" t="e">
        <f t="shared" si="9"/>
        <v>#DIV/0!</v>
      </c>
      <c r="AA23" s="91" t="e">
        <f t="shared" si="9"/>
        <v>#DIV/0!</v>
      </c>
      <c r="AB23" s="91" t="e">
        <f t="shared" si="9"/>
        <v>#DIV/0!</v>
      </c>
    </row>
    <row r="24" spans="1:28" s="59" customFormat="1" ht="24.75" customHeight="1">
      <c r="A24" s="58" t="s">
        <v>14</v>
      </c>
      <c r="B24" s="55">
        <f>SUM(B12:B23)</f>
        <v>75000</v>
      </c>
      <c r="C24" s="55">
        <f>SUM(C12:C23)</f>
        <v>300</v>
      </c>
      <c r="D24" s="55">
        <f>SUM(D12:D23)</f>
        <v>12</v>
      </c>
      <c r="E24" s="55">
        <f>SUM(E12:E23)</f>
        <v>288</v>
      </c>
      <c r="F24" s="57">
        <f>+$C24*3600/$B24/'【入力ｼｰﾄ②】ｺｰｼﾞｪﾈ方式(導入前)'!$F$6</f>
        <v>0.35467980295566504</v>
      </c>
      <c r="G24" s="57">
        <f>+$E24*3600/$B24/'【入力ｼｰﾄ②】ｺｰｼﾞｪﾈ方式(導入前)'!$F$6</f>
        <v>0.3404926108374384</v>
      </c>
      <c r="H24" s="55">
        <f>SUM(H12:H23)</f>
        <v>300</v>
      </c>
      <c r="I24" s="55">
        <f aca="true" t="shared" si="10" ref="I24:S24">SUM(I12:I23)</f>
        <v>450</v>
      </c>
      <c r="J24" s="55">
        <f t="shared" si="10"/>
        <v>720</v>
      </c>
      <c r="K24" s="55">
        <f t="shared" si="10"/>
        <v>0</v>
      </c>
      <c r="L24" s="55">
        <f t="shared" si="10"/>
        <v>450</v>
      </c>
      <c r="M24" s="55">
        <f t="shared" si="10"/>
        <v>400</v>
      </c>
      <c r="N24" s="55">
        <f t="shared" si="10"/>
        <v>0</v>
      </c>
      <c r="O24" s="55">
        <f t="shared" si="10"/>
        <v>0</v>
      </c>
      <c r="P24" s="55">
        <f t="shared" si="10"/>
        <v>550</v>
      </c>
      <c r="Q24" s="55">
        <f t="shared" si="10"/>
        <v>517.6470588235294</v>
      </c>
      <c r="R24" s="55">
        <f t="shared" si="10"/>
        <v>0</v>
      </c>
      <c r="S24" s="55">
        <f t="shared" si="10"/>
        <v>0</v>
      </c>
      <c r="T24" s="55">
        <f>+E24*$K$4+(P24+Q24+R24+S24)*$K$3-B24/1000*'【入力ｼｰﾄ②】ｺｰｼﾞｪﾈ方式(導入前)'!$F$7*$K$3</f>
        <v>13.04629411764705</v>
      </c>
      <c r="U24" s="75">
        <f>+T24/$G$3</f>
        <v>0.01304629411764705</v>
      </c>
      <c r="V24" s="57">
        <f>+T24/((P24+Q24+R24+S24)*$K$3+$E24*$K$4)</f>
        <v>0.13030488901109352</v>
      </c>
      <c r="W24" s="91">
        <f t="shared" si="7"/>
        <v>250</v>
      </c>
      <c r="X24" s="47">
        <f t="shared" si="8"/>
        <v>1000</v>
      </c>
      <c r="Y24" s="91">
        <f t="shared" si="9"/>
        <v>1500</v>
      </c>
      <c r="Z24" s="91">
        <f t="shared" si="9"/>
        <v>1333.3333333333333</v>
      </c>
      <c r="AA24" s="91">
        <f t="shared" si="9"/>
        <v>0</v>
      </c>
      <c r="AB24" s="91">
        <f t="shared" si="9"/>
        <v>0</v>
      </c>
    </row>
  </sheetData>
  <sheetProtection/>
  <mergeCells count="6">
    <mergeCell ref="V9:V10"/>
    <mergeCell ref="A10:A11"/>
    <mergeCell ref="L9:O9"/>
    <mergeCell ref="P9:S9"/>
    <mergeCell ref="T9:T10"/>
    <mergeCell ref="U9:U10"/>
  </mergeCells>
  <printOptions/>
  <pageMargins left="0.5905511811023623" right="0.3937007874015748" top="0.984251968503937" bottom="0.984251968503937" header="0.5118110236220472" footer="0.5118110236220472"/>
  <pageSetup horizontalDpi="600" verticalDpi="600" orientation="landscape" paperSize="8" scale="85" r:id="rId2"/>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東京ガス株式会社</dc:creator>
  <cp:keywords/>
  <dc:description/>
  <cp:lastModifiedBy>iwasaki</cp:lastModifiedBy>
  <cp:lastPrinted>2017-03-13T04:41:03Z</cp:lastPrinted>
  <dcterms:created xsi:type="dcterms:W3CDTF">2004-05-27T10:08:16Z</dcterms:created>
  <dcterms:modified xsi:type="dcterms:W3CDTF">2018-03-07T00:50:45Z</dcterms:modified>
  <cp:category/>
  <cp:version/>
  <cp:contentType/>
  <cp:contentStatus/>
</cp:coreProperties>
</file>